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8195" windowHeight="7680"/>
  </bookViews>
  <sheets>
    <sheet name="Nanocoatings" sheetId="27" r:id="rId1"/>
    <sheet name="Surface Area and Volume" sheetId="1" r:id="rId2"/>
    <sheet name="Shell %" sheetId="2" r:id="rId3"/>
    <sheet name="Distances" sheetId="3" r:id="rId4"/>
    <sheet name="Distribution" sheetId="4" r:id="rId5"/>
    <sheet name="Rayleigh" sheetId="5" r:id="rId6"/>
    <sheet name="Mie" sheetId="6" r:id="rId7"/>
    <sheet name="Settling Time" sheetId="12" r:id="rId8"/>
    <sheet name="Percolation" sheetId="7" r:id="rId9"/>
    <sheet name="Clay barriers" sheetId="8" r:id="rId10"/>
    <sheet name="Microemulsions" sheetId="9" r:id="rId11"/>
    <sheet name="HSP Sphere" sheetId="10" r:id="rId12"/>
    <sheet name="HSP Solvent Blends and Chi" sheetId="11" r:id="rId13"/>
    <sheet name="Modulus" sheetId="13" r:id="rId14"/>
    <sheet name="Thickness" sheetId="14" r:id="rId15"/>
    <sheet name="VdW" sheetId="15" r:id="rId16"/>
    <sheet name="DLVO" sheetId="16" r:id="rId17"/>
    <sheet name="RI Vol" sheetId="17" r:id="rId18"/>
    <sheet name="RI LL" sheetId="18" r:id="rId19"/>
    <sheet name="Ostwald" sheetId="19" r:id="rId20"/>
    <sheet name="Levelling" sheetId="20" r:id="rId21"/>
    <sheet name="Pinholes and Fibres" sheetId="21" r:id="rId22"/>
    <sheet name="Milling" sheetId="23" r:id="rId23"/>
    <sheet name="Grinding" sheetId="26" r:id="rId24"/>
    <sheet name="Nanoindentation" sheetId="24" r:id="rId25"/>
    <sheet name="Stefan" sheetId="25" r:id="rId26"/>
    <sheet name="ASAP" sheetId="22" r:id="rId27"/>
  </sheets>
  <definedNames>
    <definedName name="Absorbed">DLVO!$D$21</definedName>
    <definedName name="Approx_RI">Thickness!$B$7</definedName>
    <definedName name="AR_">ASAP!$B$6</definedName>
    <definedName name="AreaF1">Nanoindentation!$J$7</definedName>
    <definedName name="AreaF2">Nanoindentation!$J$6</definedName>
    <definedName name="B">ASAP!$F$6</definedName>
    <definedName name="Bond_R">Milling!$I$9</definedName>
    <definedName name="c_">Percolation!$F$3</definedName>
    <definedName name="Calculated_thickness_µm">Thickness!$B$11</definedName>
    <definedName name="CB">Milling!$I$5</definedName>
    <definedName name="Chi">DLVO!$D$18</definedName>
    <definedName name="CK">Milling!$J$5</definedName>
    <definedName name="CR">Milling!$H$5</definedName>
    <definedName name="d">Percolation!$G$3</definedName>
    <definedName name="dD" localSheetId="12">'HSP Solvent Blends and Chi'!$B$3</definedName>
    <definedName name="dD">'HSP Sphere'!$B$3</definedName>
    <definedName name="Deflection">Modulus!$D$7</definedName>
    <definedName name="Density">Modulus!$D$5</definedName>
    <definedName name="dH" localSheetId="12">'HSP Solvent Blends and Chi'!$D$3</definedName>
    <definedName name="dH">'HSP Sphere'!$D$3</definedName>
    <definedName name="Distance">'HSP Solvent Blends and Chi'!$L$22</definedName>
    <definedName name="divStep">Stefan!$B$16</definedName>
    <definedName name="DLVODensity">DLVO!$D$19</definedName>
    <definedName name="dMax">Nanoindentation!$E$62</definedName>
    <definedName name="dMin">Nanoindentation!$G$12</definedName>
    <definedName name="dP" localSheetId="12">'HSP Solvent Blends and Chi'!$C$3</definedName>
    <definedName name="dP">'HSP Sphere'!$C$3</definedName>
    <definedName name="e">DLVO!$J$11</definedName>
    <definedName name="e0">DLVO!$J$10</definedName>
    <definedName name="Ea">ASAP!$E$6</definedName>
    <definedName name="f">Percolation!$D$3</definedName>
    <definedName name="Failure_Value">ASAP!$E$3</definedName>
    <definedName name="FCa">'Pinholes and Fibres'!$E$23</definedName>
    <definedName name="FDensity">'Pinholes and Fibres'!$E$6</definedName>
    <definedName name="FGravity">'Pinholes and Fibres'!$H$15</definedName>
    <definedName name="FRadius">'Pinholes and Fibres'!$E$20</definedName>
    <definedName name="FSurften">'Pinholes and Fibres'!$E$18</definedName>
    <definedName name="fThick">Stefan!$E$4</definedName>
    <definedName name="FudgeFactor">Modulus!$H$3</definedName>
    <definedName name="FVelocity">'Pinholes and Fibres'!$E$16</definedName>
    <definedName name="FViscosity">'Pinholes and Fibres'!$E$17</definedName>
    <definedName name="g">Percolation!$E$3</definedName>
    <definedName name="Gravity">Modulus!$D$9</definedName>
    <definedName name="h">Percolation!$C$3</definedName>
    <definedName name="h0">'Pinholes and Fibres'!$E$24</definedName>
    <definedName name="Hamaker">DLVO!$D$17</definedName>
    <definedName name="Hardness">Nanoindentation!$E$3</definedName>
    <definedName name="HHardness">Nanoindentation!$E$3</definedName>
    <definedName name="Higher_wavelength">Thickness!$B$6</definedName>
    <definedName name="HModulus">Nanoindentation!$E$2</definedName>
    <definedName name="Hukki_R">Milling!$H$9</definedName>
    <definedName name="I">DLVO!$F$6</definedName>
    <definedName name="iModulus">Nanoindentation!$L$2</definedName>
    <definedName name="iPoisson">Nanoindentation!$L$3</definedName>
    <definedName name="k_1">DLVO!$F$10</definedName>
    <definedName name="K_K_R">Milling!$J$9</definedName>
    <definedName name="kB">DLVO!$J$12</definedName>
    <definedName name="Km">Nanoindentation!$H$2</definedName>
    <definedName name="Kmunload">Nanoindentation!$H$3</definedName>
    <definedName name="Layer">DLVO!$D$20</definedName>
    <definedName name="Length">Modulus!$D$3</definedName>
    <definedName name="lnA">ASAP!$D$6</definedName>
    <definedName name="Lower_wavelength">Thickness!$B$5</definedName>
    <definedName name="mass">Milling!$E$7</definedName>
    <definedName name="Modulus" localSheetId="24">Nanoindentation!$E$2</definedName>
    <definedName name="Modulus">Modulus!$G$5</definedName>
    <definedName name="MVol">DLVO!$L$7</definedName>
    <definedName name="MVolChi">'HSP Solvent Blends and Chi'!$L$23</definedName>
    <definedName name="NA">DLVO!$J$13</definedName>
    <definedName name="Number_of_peaks">Thickness!$B$8</definedName>
    <definedName name="Offset">Distribution!$J$6</definedName>
    <definedName name="Optical_thickness_μm">Thickness!$B$10</definedName>
    <definedName name="oThick">Stefan!$E$3</definedName>
    <definedName name="PMax">Nanoindentation!$C$4</definedName>
    <definedName name="PotAtt">VdW!$G$3</definedName>
    <definedName name="PotRep">VdW!$F$3</definedName>
    <definedName name="R_" localSheetId="12">'HSP Solvent Blends and Chi'!$E$3</definedName>
    <definedName name="R_">'HSP Sphere'!$E$3</definedName>
    <definedName name="radius">DLVO!$D$16</definedName>
    <definedName name="rModulus">Nanoindentation!$C$2</definedName>
    <definedName name="RT">'HSP Solvent Blends and Chi'!$L$26</definedName>
    <definedName name="s">Percolation!$H$3</definedName>
    <definedName name="Scale_h">DLVO!$B$24</definedName>
    <definedName name="sForce">Stefan!$E$6</definedName>
    <definedName name="solver_adj" localSheetId="12" hidden="1">'HSP Solvent Blends and Chi'!$B$3:$D$3</definedName>
    <definedName name="solver_adj" localSheetId="11" hidden="1">'HSP Sphere'!$B$3:$D$3</definedName>
    <definedName name="solver_cvg" localSheetId="12" hidden="1">0.0001</definedName>
    <definedName name="solver_cvg" localSheetId="11" hidden="1">0.0001</definedName>
    <definedName name="solver_drv" localSheetId="12" hidden="1">1</definedName>
    <definedName name="solver_drv" localSheetId="11" hidden="1">1</definedName>
    <definedName name="solver_eng" localSheetId="12" hidden="1">1</definedName>
    <definedName name="solver_eng" localSheetId="11" hidden="1">1</definedName>
    <definedName name="solver_est" localSheetId="12" hidden="1">1</definedName>
    <definedName name="solver_est" localSheetId="11" hidden="1">1</definedName>
    <definedName name="solver_itr" localSheetId="12" hidden="1">2147483647</definedName>
    <definedName name="solver_itr" localSheetId="11" hidden="1">2147483647</definedName>
    <definedName name="solver_lhs1" localSheetId="12" hidden="1">'HSP Solvent Blends and Chi'!$B$3</definedName>
    <definedName name="solver_lhs1" localSheetId="11" hidden="1">'HSP Sphere'!$B$3</definedName>
    <definedName name="solver_lhs2" localSheetId="12" hidden="1">'HSP Solvent Blends and Chi'!$D$3</definedName>
    <definedName name="solver_lhs2" localSheetId="11" hidden="1">'HSP Sphere'!$D$3</definedName>
    <definedName name="solver_lhs3" localSheetId="12" hidden="1">'HSP Solvent Blends and Chi'!$C$3</definedName>
    <definedName name="solver_lhs3" localSheetId="11" hidden="1">'HSP Sphere'!$C$3</definedName>
    <definedName name="solver_mip" localSheetId="12" hidden="1">2147483647</definedName>
    <definedName name="solver_mip" localSheetId="11" hidden="1">2147483647</definedName>
    <definedName name="solver_mni" localSheetId="12" hidden="1">30</definedName>
    <definedName name="solver_mni" localSheetId="11" hidden="1">30</definedName>
    <definedName name="solver_mrt" localSheetId="12" hidden="1">0.075</definedName>
    <definedName name="solver_mrt" localSheetId="11" hidden="1">0.075</definedName>
    <definedName name="solver_msl" localSheetId="12" hidden="1">2</definedName>
    <definedName name="solver_msl" localSheetId="11" hidden="1">2</definedName>
    <definedName name="solver_neg" localSheetId="12" hidden="1">1</definedName>
    <definedName name="solver_neg" localSheetId="11" hidden="1">1</definedName>
    <definedName name="solver_nod" localSheetId="12" hidden="1">2147483647</definedName>
    <definedName name="solver_nod" localSheetId="11" hidden="1">2147483647</definedName>
    <definedName name="solver_num" localSheetId="12" hidden="1">3</definedName>
    <definedName name="solver_num" localSheetId="11" hidden="1">3</definedName>
    <definedName name="solver_nwt" localSheetId="12" hidden="1">1</definedName>
    <definedName name="solver_nwt" localSheetId="11" hidden="1">1</definedName>
    <definedName name="solver_opt" localSheetId="12" hidden="1">'HSP Solvent Blends and Chi'!#REF!</definedName>
    <definedName name="solver_opt" localSheetId="11" hidden="1">'HSP Sphere'!$J$3</definedName>
    <definedName name="solver_pre" localSheetId="12" hidden="1">0.000001</definedName>
    <definedName name="solver_pre" localSheetId="11" hidden="1">0.000001</definedName>
    <definedName name="solver_rbv" localSheetId="12" hidden="1">1</definedName>
    <definedName name="solver_rbv" localSheetId="11" hidden="1">1</definedName>
    <definedName name="solver_rel1" localSheetId="12" hidden="1">3</definedName>
    <definedName name="solver_rel1" localSheetId="11" hidden="1">3</definedName>
    <definedName name="solver_rel2" localSheetId="12" hidden="1">3</definedName>
    <definedName name="solver_rel2" localSheetId="11" hidden="1">3</definedName>
    <definedName name="solver_rel3" localSheetId="12" hidden="1">3</definedName>
    <definedName name="solver_rel3" localSheetId="11" hidden="1">3</definedName>
    <definedName name="solver_rhs1" localSheetId="12" hidden="1">13</definedName>
    <definedName name="solver_rhs1" localSheetId="11" hidden="1">13</definedName>
    <definedName name="solver_rhs2" localSheetId="12" hidden="1">0</definedName>
    <definedName name="solver_rhs2" localSheetId="11" hidden="1">0</definedName>
    <definedName name="solver_rhs3" localSheetId="12" hidden="1">0</definedName>
    <definedName name="solver_rhs3" localSheetId="11" hidden="1">0</definedName>
    <definedName name="solver_rlx" localSheetId="12" hidden="1">2</definedName>
    <definedName name="solver_rlx" localSheetId="11" hidden="1">2</definedName>
    <definedName name="solver_rsd" localSheetId="12" hidden="1">0</definedName>
    <definedName name="solver_rsd" localSheetId="11" hidden="1">0</definedName>
    <definedName name="solver_scl" localSheetId="12" hidden="1">1</definedName>
    <definedName name="solver_scl" localSheetId="11" hidden="1">1</definedName>
    <definedName name="solver_sho" localSheetId="12" hidden="1">2</definedName>
    <definedName name="solver_sho" localSheetId="11" hidden="1">2</definedName>
    <definedName name="solver_ssz" localSheetId="12" hidden="1">100</definedName>
    <definedName name="solver_ssz" localSheetId="11" hidden="1">100</definedName>
    <definedName name="solver_tim" localSheetId="12" hidden="1">2147483647</definedName>
    <definedName name="solver_tim" localSheetId="11" hidden="1">2147483647</definedName>
    <definedName name="solver_tol" localSheetId="12" hidden="1">0.01</definedName>
    <definedName name="solver_tol" localSheetId="11" hidden="1">0.01</definedName>
    <definedName name="solver_typ" localSheetId="12" hidden="1">1</definedName>
    <definedName name="solver_typ" localSheetId="11" hidden="1">1</definedName>
    <definedName name="solver_val" localSheetId="12" hidden="1">0</definedName>
    <definedName name="solver_val" localSheetId="11" hidden="1">0</definedName>
    <definedName name="solver_ver" localSheetId="12" hidden="1">3</definedName>
    <definedName name="solver_ver" localSheetId="11" hidden="1">3</definedName>
    <definedName name="sPoisson">Nanoindentation!$C$5</definedName>
    <definedName name="sRadius">Stefan!$E$7</definedName>
    <definedName name="Surface_Potential">DLVO!$D$15</definedName>
    <definedName name="SurfTen">'Pinholes and Fibres'!$E$5</definedName>
    <definedName name="sViscosity">Stefan!$E$5</definedName>
    <definedName name="T">DLVO!$D$13</definedName>
    <definedName name="Temperature">'HSP Solvent Blends and Chi'!$L$24</definedName>
    <definedName name="Thickness">Modulus!$D$4</definedName>
    <definedName name="uDMax">Nanoindentation!$F$62</definedName>
    <definedName name="VdWmin">VdW!$C$2</definedName>
    <definedName name="Velocity">'Pinholes and Fibres'!$E$3</definedName>
    <definedName name="Viscosity">'Pinholes and Fibres'!$E$4</definedName>
    <definedName name="Well">VdW!$C$3</definedName>
    <definedName name="x">Milling!$E$5</definedName>
    <definedName name="xystep">Milling!$E$10</definedName>
    <definedName name="y">Milling!$E$6</definedName>
    <definedName name="ε">DLVO!$J$8</definedName>
  </definedNames>
  <calcPr calcId="145621"/>
</workbook>
</file>

<file path=xl/calcChain.xml><?xml version="1.0" encoding="utf-8"?>
<calcChain xmlns="http://schemas.openxmlformats.org/spreadsheetml/2006/main">
  <c r="D5" i="11" l="1"/>
  <c r="C5" i="11"/>
  <c r="D10" i="26" l="1"/>
  <c r="E10" i="26"/>
  <c r="F10" i="26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10" i="26"/>
  <c r="I12" i="25" l="1"/>
  <c r="E10" i="25"/>
  <c r="I9" i="25" s="1"/>
  <c r="E9" i="25"/>
  <c r="B16" i="25"/>
  <c r="C15" i="25"/>
  <c r="E7" i="25"/>
  <c r="E6" i="25"/>
  <c r="E5" i="25"/>
  <c r="E4" i="25"/>
  <c r="E3" i="25"/>
  <c r="C16" i="25" l="1"/>
  <c r="C17" i="25" s="1"/>
  <c r="C18" i="25" s="1"/>
  <c r="C19" i="25" s="1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D35" i="25" s="1"/>
  <c r="I8" i="25"/>
  <c r="I10" i="25" s="1"/>
  <c r="G6" i="24"/>
  <c r="D13" i="24"/>
  <c r="D14" i="24" s="1"/>
  <c r="E3" i="24"/>
  <c r="E2" i="24"/>
  <c r="D33" i="25" l="1"/>
  <c r="D18" i="25"/>
  <c r="D20" i="25"/>
  <c r="D26" i="25"/>
  <c r="D17" i="25"/>
  <c r="D24" i="25"/>
  <c r="D21" i="25"/>
  <c r="D19" i="25"/>
  <c r="D31" i="25"/>
  <c r="D30" i="25"/>
  <c r="D28" i="25"/>
  <c r="D25" i="25"/>
  <c r="D23" i="25"/>
  <c r="D22" i="25"/>
  <c r="D16" i="25"/>
  <c r="D32" i="25"/>
  <c r="D29" i="25"/>
  <c r="D27" i="25"/>
  <c r="D34" i="25"/>
  <c r="H2" i="24"/>
  <c r="E12" i="24" s="1"/>
  <c r="H12" i="24" s="1"/>
  <c r="D15" i="24"/>
  <c r="H3" i="24"/>
  <c r="F14" i="24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6" i="1"/>
  <c r="E13" i="24" l="1"/>
  <c r="H13" i="24" s="1"/>
  <c r="F12" i="24"/>
  <c r="F13" i="24"/>
  <c r="E14" i="24"/>
  <c r="H14" i="24" s="1"/>
  <c r="D16" i="24"/>
  <c r="E15" i="24"/>
  <c r="H15" i="24" s="1"/>
  <c r="F15" i="24"/>
  <c r="D13" i="12"/>
  <c r="D17" i="24" l="1"/>
  <c r="F16" i="24"/>
  <c r="E16" i="24"/>
  <c r="H16" i="24" s="1"/>
  <c r="M17" i="12"/>
  <c r="D18" i="24" l="1"/>
  <c r="E17" i="24"/>
  <c r="H17" i="24" s="1"/>
  <c r="F17" i="24"/>
  <c r="E12" i="23"/>
  <c r="F12" i="23" s="1"/>
  <c r="E7" i="23"/>
  <c r="E6" i="23"/>
  <c r="E5" i="23"/>
  <c r="D19" i="24" l="1"/>
  <c r="E18" i="24"/>
  <c r="H18" i="24" s="1"/>
  <c r="F18" i="24"/>
  <c r="I6" i="23"/>
  <c r="I7" i="23" s="1"/>
  <c r="E10" i="23"/>
  <c r="J6" i="23"/>
  <c r="J7" i="23" s="1"/>
  <c r="H6" i="23"/>
  <c r="H7" i="23" s="1"/>
  <c r="G26" i="12"/>
  <c r="H26" i="12" s="1"/>
  <c r="D26" i="12"/>
  <c r="D25" i="12"/>
  <c r="N3" i="12"/>
  <c r="B9" i="4"/>
  <c r="B10" i="4" s="1"/>
  <c r="B11" i="4" l="1"/>
  <c r="D20" i="24"/>
  <c r="E19" i="24"/>
  <c r="H19" i="24" s="1"/>
  <c r="F19" i="24"/>
  <c r="D30" i="12"/>
  <c r="B30" i="12" s="1"/>
  <c r="J12" i="23"/>
  <c r="I12" i="23"/>
  <c r="E13" i="23"/>
  <c r="H12" i="23"/>
  <c r="I26" i="12"/>
  <c r="C7" i="8"/>
  <c r="D7" i="8"/>
  <c r="E7" i="8"/>
  <c r="C18" i="8"/>
  <c r="D18" i="8"/>
  <c r="E18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D19" i="8"/>
  <c r="E19" i="8"/>
  <c r="C19" i="8"/>
  <c r="C9" i="8"/>
  <c r="D9" i="8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C14" i="8"/>
  <c r="D14" i="8"/>
  <c r="E14" i="8"/>
  <c r="D8" i="8"/>
  <c r="E8" i="8"/>
  <c r="C8" i="8"/>
  <c r="F6" i="8"/>
  <c r="E14" i="23" l="1"/>
  <c r="F13" i="23"/>
  <c r="B12" i="4"/>
  <c r="D21" i="24"/>
  <c r="F20" i="24"/>
  <c r="E20" i="24"/>
  <c r="H20" i="24" s="1"/>
  <c r="J13" i="23"/>
  <c r="J14" i="23"/>
  <c r="I14" i="23"/>
  <c r="I13" i="23"/>
  <c r="H14" i="23"/>
  <c r="H13" i="23"/>
  <c r="S24" i="22"/>
  <c r="Q24" i="22"/>
  <c r="R24" i="22" s="1"/>
  <c r="H24" i="22"/>
  <c r="I24" i="22" s="1"/>
  <c r="G24" i="22"/>
  <c r="S23" i="22"/>
  <c r="Q23" i="22"/>
  <c r="R23" i="22" s="1"/>
  <c r="H23" i="22"/>
  <c r="I23" i="22" s="1"/>
  <c r="G23" i="22"/>
  <c r="S22" i="22"/>
  <c r="Q22" i="22"/>
  <c r="R22" i="22" s="1"/>
  <c r="H22" i="22"/>
  <c r="I22" i="22" s="1"/>
  <c r="G22" i="22"/>
  <c r="S21" i="22"/>
  <c r="Q21" i="22"/>
  <c r="R21" i="22" s="1"/>
  <c r="H21" i="22"/>
  <c r="I21" i="22" s="1"/>
  <c r="G21" i="22"/>
  <c r="S20" i="22"/>
  <c r="Q20" i="22"/>
  <c r="R20" i="22" s="1"/>
  <c r="H20" i="22"/>
  <c r="I20" i="22" s="1"/>
  <c r="G20" i="22"/>
  <c r="S19" i="22"/>
  <c r="Q19" i="22"/>
  <c r="R19" i="22" s="1"/>
  <c r="H19" i="22"/>
  <c r="I19" i="22" s="1"/>
  <c r="G19" i="22"/>
  <c r="S18" i="22"/>
  <c r="Q18" i="22"/>
  <c r="R18" i="22" s="1"/>
  <c r="H18" i="22"/>
  <c r="I18" i="22" s="1"/>
  <c r="G18" i="22"/>
  <c r="S17" i="22"/>
  <c r="Q17" i="22"/>
  <c r="R17" i="22" s="1"/>
  <c r="H17" i="22"/>
  <c r="I17" i="22" s="1"/>
  <c r="G17" i="22"/>
  <c r="Q16" i="22"/>
  <c r="H16" i="22"/>
  <c r="I16" i="22" s="1"/>
  <c r="G16" i="22"/>
  <c r="Q15" i="22"/>
  <c r="H15" i="22"/>
  <c r="I15" i="22" s="1"/>
  <c r="G15" i="22"/>
  <c r="Q14" i="22"/>
  <c r="G14" i="22"/>
  <c r="H14" i="22" s="1"/>
  <c r="I14" i="22" s="1"/>
  <c r="Q13" i="22"/>
  <c r="G13" i="22"/>
  <c r="H13" i="22" s="1"/>
  <c r="I13" i="22" s="1"/>
  <c r="Q12" i="22"/>
  <c r="G12" i="22"/>
  <c r="H12" i="22" s="1"/>
  <c r="I12" i="22" s="1"/>
  <c r="Q11" i="22"/>
  <c r="G11" i="22"/>
  <c r="H11" i="22" s="1"/>
  <c r="I11" i="22" s="1"/>
  <c r="Q10" i="22"/>
  <c r="G10" i="22"/>
  <c r="H10" i="22" s="1"/>
  <c r="I10" i="22" s="1"/>
  <c r="Q9" i="22"/>
  <c r="Q8" i="22"/>
  <c r="Q7" i="22"/>
  <c r="S6" i="22"/>
  <c r="S7" i="22" s="1"/>
  <c r="S8" i="22" s="1"/>
  <c r="S9" i="22" s="1"/>
  <c r="S10" i="22" s="1"/>
  <c r="S11" i="22" s="1"/>
  <c r="S12" i="22" s="1"/>
  <c r="S13" i="22" s="1"/>
  <c r="S14" i="22" s="1"/>
  <c r="S15" i="22" s="1"/>
  <c r="S16" i="22" s="1"/>
  <c r="Q6" i="22"/>
  <c r="R6" i="22" s="1"/>
  <c r="K6" i="22"/>
  <c r="K7" i="22" s="1"/>
  <c r="I9" i="22" l="1"/>
  <c r="E15" i="23"/>
  <c r="F14" i="23"/>
  <c r="B13" i="4"/>
  <c r="D22" i="24"/>
  <c r="E21" i="24"/>
  <c r="H21" i="24" s="1"/>
  <c r="F21" i="24"/>
  <c r="R7" i="22"/>
  <c r="R8" i="22" s="1"/>
  <c r="R9" i="22" s="1"/>
  <c r="R10" i="22" s="1"/>
  <c r="R11" i="22" s="1"/>
  <c r="R12" i="22" s="1"/>
  <c r="R13" i="22" s="1"/>
  <c r="R14" i="22" s="1"/>
  <c r="R15" i="22" s="1"/>
  <c r="R16" i="22" s="1"/>
  <c r="E29" i="21"/>
  <c r="C29" i="21" s="1"/>
  <c r="E26" i="21"/>
  <c r="C26" i="21" s="1"/>
  <c r="E20" i="21"/>
  <c r="E19" i="21"/>
  <c r="E18" i="21"/>
  <c r="E17" i="21"/>
  <c r="E23" i="21" s="1"/>
  <c r="E24" i="21" s="1"/>
  <c r="E28" i="21" s="1"/>
  <c r="E16" i="21"/>
  <c r="E6" i="21"/>
  <c r="E5" i="21"/>
  <c r="E4" i="21"/>
  <c r="E6" i="20"/>
  <c r="E5" i="20"/>
  <c r="E4" i="20"/>
  <c r="E3" i="20"/>
  <c r="C8" i="20" s="1"/>
  <c r="E16" i="23" l="1"/>
  <c r="F15" i="23"/>
  <c r="I15" i="23"/>
  <c r="H15" i="23"/>
  <c r="J15" i="23"/>
  <c r="B14" i="4"/>
  <c r="D23" i="24"/>
  <c r="E22" i="24"/>
  <c r="H22" i="24" s="1"/>
  <c r="F22" i="24"/>
  <c r="C10" i="21"/>
  <c r="C11" i="21" s="1"/>
  <c r="E12" i="21"/>
  <c r="E13" i="21" s="1"/>
  <c r="E27" i="21"/>
  <c r="C27" i="21" s="1"/>
  <c r="C24" i="21"/>
  <c r="C23" i="21"/>
  <c r="C9" i="21"/>
  <c r="C28" i="21"/>
  <c r="L26" i="11"/>
  <c r="L28" i="11" s="1"/>
  <c r="E17" i="23" l="1"/>
  <c r="F16" i="23"/>
  <c r="I16" i="23"/>
  <c r="J16" i="23"/>
  <c r="H16" i="23"/>
  <c r="B15" i="4"/>
  <c r="D24" i="24"/>
  <c r="E23" i="24"/>
  <c r="H23" i="24" s="1"/>
  <c r="F23" i="24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14" i="19"/>
  <c r="K9" i="19"/>
  <c r="D6" i="19"/>
  <c r="D8" i="19"/>
  <c r="D7" i="19"/>
  <c r="D5" i="19"/>
  <c r="B10" i="19" s="1"/>
  <c r="B11" i="19" s="1"/>
  <c r="K11" i="19"/>
  <c r="K10" i="19"/>
  <c r="M8" i="19"/>
  <c r="M9" i="19" s="1"/>
  <c r="M10" i="19" s="1"/>
  <c r="M11" i="19" s="1"/>
  <c r="M12" i="19" s="1"/>
  <c r="M13" i="19" s="1"/>
  <c r="M14" i="19" s="1"/>
  <c r="M15" i="19" s="1"/>
  <c r="M16" i="19" s="1"/>
  <c r="M17" i="19" s="1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M31" i="19" s="1"/>
  <c r="K8" i="19"/>
  <c r="N7" i="19"/>
  <c r="K7" i="19"/>
  <c r="K6" i="19"/>
  <c r="E18" i="23" l="1"/>
  <c r="F17" i="23"/>
  <c r="I17" i="23"/>
  <c r="H17" i="23"/>
  <c r="J17" i="23"/>
  <c r="B16" i="4"/>
  <c r="D25" i="24"/>
  <c r="F24" i="24"/>
  <c r="E24" i="24"/>
  <c r="H24" i="24" s="1"/>
  <c r="N31" i="19"/>
  <c r="N9" i="19"/>
  <c r="N12" i="19"/>
  <c r="N16" i="19"/>
  <c r="N20" i="19"/>
  <c r="N26" i="19"/>
  <c r="N8" i="19"/>
  <c r="N10" i="19"/>
  <c r="N14" i="19"/>
  <c r="N18" i="19"/>
  <c r="N22" i="19"/>
  <c r="N24" i="19"/>
  <c r="N28" i="19"/>
  <c r="N30" i="19"/>
  <c r="N11" i="19"/>
  <c r="N13" i="19"/>
  <c r="N15" i="19"/>
  <c r="N17" i="19"/>
  <c r="N19" i="19"/>
  <c r="N21" i="19"/>
  <c r="N23" i="19"/>
  <c r="N25" i="19"/>
  <c r="N27" i="19"/>
  <c r="N29" i="19"/>
  <c r="E19" i="23" l="1"/>
  <c r="F18" i="23"/>
  <c r="I18" i="23"/>
  <c r="H18" i="23"/>
  <c r="J18" i="23"/>
  <c r="B17" i="4"/>
  <c r="D26" i="24"/>
  <c r="F25" i="24"/>
  <c r="E25" i="24"/>
  <c r="H25" i="24" s="1"/>
  <c r="I7" i="17"/>
  <c r="I6" i="17"/>
  <c r="D10" i="18"/>
  <c r="E8" i="18" s="1"/>
  <c r="I7" i="18"/>
  <c r="K7" i="18" s="1"/>
  <c r="F7" i="18"/>
  <c r="E7" i="18"/>
  <c r="I6" i="18"/>
  <c r="K6" i="18" s="1"/>
  <c r="F6" i="18"/>
  <c r="K4" i="18"/>
  <c r="J4" i="18"/>
  <c r="L4" i="18" s="1"/>
  <c r="I4" i="18"/>
  <c r="F4" i="18"/>
  <c r="D10" i="17"/>
  <c r="E5" i="17" s="1"/>
  <c r="E9" i="17"/>
  <c r="F7" i="17"/>
  <c r="F6" i="17"/>
  <c r="I4" i="17"/>
  <c r="F4" i="17"/>
  <c r="E4" i="17"/>
  <c r="E20" i="23" l="1"/>
  <c r="F19" i="23"/>
  <c r="J19" i="23"/>
  <c r="I19" i="23"/>
  <c r="H19" i="23"/>
  <c r="F10" i="17"/>
  <c r="G8" i="17" s="1"/>
  <c r="H8" i="17" s="1"/>
  <c r="J8" i="17" s="1"/>
  <c r="E7" i="17"/>
  <c r="E10" i="17" s="1"/>
  <c r="E6" i="17"/>
  <c r="E8" i="17"/>
  <c r="E4" i="18"/>
  <c r="E9" i="18"/>
  <c r="B18" i="4"/>
  <c r="D27" i="24"/>
  <c r="E26" i="24"/>
  <c r="H26" i="24" s="1"/>
  <c r="F26" i="24"/>
  <c r="F10" i="18"/>
  <c r="G8" i="18" s="1"/>
  <c r="H8" i="18" s="1"/>
  <c r="E5" i="18"/>
  <c r="J6" i="18"/>
  <c r="L6" i="18" s="1"/>
  <c r="E6" i="18"/>
  <c r="G6" i="18"/>
  <c r="H6" i="18" s="1"/>
  <c r="J7" i="18"/>
  <c r="L7" i="18" s="1"/>
  <c r="G9" i="17"/>
  <c r="H9" i="17" s="1"/>
  <c r="J9" i="17" s="1"/>
  <c r="G6" i="17"/>
  <c r="H6" i="17" s="1"/>
  <c r="J6" i="17" s="1"/>
  <c r="G7" i="17"/>
  <c r="H7" i="17" s="1"/>
  <c r="J7" i="17" s="1"/>
  <c r="B27" i="16"/>
  <c r="D27" i="16" s="1"/>
  <c r="D24" i="16"/>
  <c r="D21" i="16"/>
  <c r="D20" i="16"/>
  <c r="D19" i="16"/>
  <c r="D18" i="16"/>
  <c r="D17" i="16"/>
  <c r="D16" i="16"/>
  <c r="D15" i="16"/>
  <c r="D13" i="16"/>
  <c r="L7" i="16"/>
  <c r="D7" i="16"/>
  <c r="D6" i="16"/>
  <c r="F6" i="16" s="1"/>
  <c r="F10" i="16" s="1"/>
  <c r="D5" i="16"/>
  <c r="D7" i="15"/>
  <c r="C7" i="15"/>
  <c r="E7" i="15" s="1"/>
  <c r="B7" i="15"/>
  <c r="B8" i="15" s="1"/>
  <c r="D6" i="15"/>
  <c r="C6" i="15"/>
  <c r="E6" i="15" s="1"/>
  <c r="E21" i="23" l="1"/>
  <c r="F20" i="23"/>
  <c r="J20" i="23"/>
  <c r="H20" i="23"/>
  <c r="I20" i="23"/>
  <c r="G5" i="17"/>
  <c r="H5" i="17" s="1"/>
  <c r="J5" i="17" s="1"/>
  <c r="G4" i="17"/>
  <c r="H4" i="17" s="1"/>
  <c r="J4" i="17" s="1"/>
  <c r="J10" i="17" s="1"/>
  <c r="M6" i="18"/>
  <c r="B19" i="4"/>
  <c r="D28" i="24"/>
  <c r="E27" i="24"/>
  <c r="H27" i="24" s="1"/>
  <c r="F27" i="24"/>
  <c r="B28" i="16"/>
  <c r="B29" i="16" s="1"/>
  <c r="H27" i="16"/>
  <c r="G5" i="18"/>
  <c r="H5" i="18" s="1"/>
  <c r="G4" i="18"/>
  <c r="G9" i="18"/>
  <c r="H9" i="18" s="1"/>
  <c r="G7" i="18"/>
  <c r="H7" i="18" s="1"/>
  <c r="M7" i="18" s="1"/>
  <c r="E10" i="18"/>
  <c r="H4" i="18"/>
  <c r="F27" i="16"/>
  <c r="G27" i="16"/>
  <c r="D28" i="16"/>
  <c r="H28" i="16" s="1"/>
  <c r="C8" i="15"/>
  <c r="E8" i="15" s="1"/>
  <c r="B9" i="15"/>
  <c r="D8" i="15"/>
  <c r="B10" i="14"/>
  <c r="B11" i="14" s="1"/>
  <c r="E22" i="23" l="1"/>
  <c r="F21" i="23"/>
  <c r="I21" i="23"/>
  <c r="H21" i="23"/>
  <c r="J21" i="23"/>
  <c r="G10" i="17"/>
  <c r="B20" i="4"/>
  <c r="D29" i="24"/>
  <c r="F28" i="24"/>
  <c r="E28" i="24"/>
  <c r="H28" i="24" s="1"/>
  <c r="I27" i="16"/>
  <c r="G10" i="18"/>
  <c r="H10" i="18"/>
  <c r="M4" i="18"/>
  <c r="M10" i="18" s="1"/>
  <c r="D29" i="16"/>
  <c r="B30" i="16"/>
  <c r="F28" i="16"/>
  <c r="G28" i="16"/>
  <c r="D9" i="15"/>
  <c r="C9" i="15"/>
  <c r="B10" i="15"/>
  <c r="P7" i="11"/>
  <c r="Q7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18" i="11"/>
  <c r="Q18" i="11" s="1"/>
  <c r="P19" i="11"/>
  <c r="Q19" i="11" s="1"/>
  <c r="P6" i="11"/>
  <c r="Q6" i="11" s="1"/>
  <c r="N9" i="11"/>
  <c r="O9" i="11"/>
  <c r="N10" i="11"/>
  <c r="O10" i="11"/>
  <c r="N11" i="11"/>
  <c r="O11" i="11"/>
  <c r="N12" i="11"/>
  <c r="O12" i="11"/>
  <c r="N13" i="1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M10" i="11"/>
  <c r="M11" i="11"/>
  <c r="M12" i="11"/>
  <c r="M13" i="11"/>
  <c r="M14" i="11"/>
  <c r="M15" i="11"/>
  <c r="M16" i="11"/>
  <c r="M17" i="11"/>
  <c r="M18" i="11"/>
  <c r="M19" i="11"/>
  <c r="M9" i="11"/>
  <c r="L10" i="11"/>
  <c r="L11" i="11"/>
  <c r="L12" i="11"/>
  <c r="L13" i="11"/>
  <c r="L14" i="11"/>
  <c r="L15" i="11"/>
  <c r="L16" i="11"/>
  <c r="L17" i="11"/>
  <c r="L18" i="11"/>
  <c r="L19" i="11"/>
  <c r="L9" i="11"/>
  <c r="E23" i="23" l="1"/>
  <c r="F22" i="23"/>
  <c r="I22" i="23"/>
  <c r="H22" i="23"/>
  <c r="J22" i="23"/>
  <c r="B21" i="4"/>
  <c r="D30" i="24"/>
  <c r="E29" i="24"/>
  <c r="H29" i="24" s="1"/>
  <c r="F29" i="24"/>
  <c r="I28" i="16"/>
  <c r="O10" i="18"/>
  <c r="N10" i="18"/>
  <c r="H29" i="16"/>
  <c r="F29" i="16"/>
  <c r="G29" i="16"/>
  <c r="B31" i="16"/>
  <c r="D30" i="16"/>
  <c r="D10" i="15"/>
  <c r="C10" i="15"/>
  <c r="B11" i="15"/>
  <c r="E9" i="15"/>
  <c r="D7" i="13"/>
  <c r="D5" i="13"/>
  <c r="D4" i="13"/>
  <c r="D3" i="13"/>
  <c r="G5" i="13" s="1"/>
  <c r="E24" i="23" l="1"/>
  <c r="F23" i="23"/>
  <c r="I23" i="23"/>
  <c r="J23" i="23"/>
  <c r="H23" i="23"/>
  <c r="B22" i="4"/>
  <c r="D31" i="24"/>
  <c r="E30" i="24"/>
  <c r="H30" i="24" s="1"/>
  <c r="F30" i="24"/>
  <c r="I29" i="16"/>
  <c r="P10" i="18"/>
  <c r="N13" i="18" s="1"/>
  <c r="H30" i="16"/>
  <c r="G30" i="16"/>
  <c r="F30" i="16"/>
  <c r="D31" i="16"/>
  <c r="B32" i="16"/>
  <c r="C11" i="15"/>
  <c r="E11" i="15" s="1"/>
  <c r="B12" i="15"/>
  <c r="D11" i="15"/>
  <c r="E10" i="15"/>
  <c r="H5" i="13"/>
  <c r="E12" i="12"/>
  <c r="D7" i="12"/>
  <c r="D8" i="12"/>
  <c r="E25" i="23" l="1"/>
  <c r="F24" i="23"/>
  <c r="H24" i="23"/>
  <c r="I24" i="23"/>
  <c r="J24" i="23"/>
  <c r="B23" i="4"/>
  <c r="D32" i="24"/>
  <c r="E31" i="24"/>
  <c r="H31" i="24" s="1"/>
  <c r="F31" i="24"/>
  <c r="I30" i="16"/>
  <c r="D32" i="16"/>
  <c r="B33" i="16"/>
  <c r="H31" i="16"/>
  <c r="F31" i="16"/>
  <c r="G31" i="16"/>
  <c r="D12" i="15"/>
  <c r="C12" i="15"/>
  <c r="B13" i="15"/>
  <c r="K5" i="13"/>
  <c r="D9" i="12"/>
  <c r="Q4" i="12" s="1"/>
  <c r="D6" i="12"/>
  <c r="D5" i="12"/>
  <c r="D15" i="12" s="1"/>
  <c r="F15" i="12" s="1"/>
  <c r="G15" i="12" s="1"/>
  <c r="D4" i="12"/>
  <c r="M18" i="12" l="1"/>
  <c r="M19" i="12" s="1"/>
  <c r="E26" i="23"/>
  <c r="F25" i="23"/>
  <c r="H25" i="23"/>
  <c r="J25" i="23"/>
  <c r="I25" i="23"/>
  <c r="B24" i="4"/>
  <c r="D33" i="24"/>
  <c r="F32" i="24"/>
  <c r="E32" i="24"/>
  <c r="H32" i="24" s="1"/>
  <c r="M39" i="12"/>
  <c r="M43" i="12"/>
  <c r="M28" i="12"/>
  <c r="M32" i="12"/>
  <c r="M24" i="12"/>
  <c r="M36" i="12"/>
  <c r="M40" i="12"/>
  <c r="M25" i="12"/>
  <c r="M29" i="12"/>
  <c r="M33" i="12"/>
  <c r="M37" i="12"/>
  <c r="M41" i="12"/>
  <c r="M26" i="12"/>
  <c r="M30" i="12"/>
  <c r="M34" i="12"/>
  <c r="M38" i="12"/>
  <c r="M42" i="12"/>
  <c r="M27" i="12"/>
  <c r="M31" i="12"/>
  <c r="M35" i="12"/>
  <c r="F26" i="12"/>
  <c r="D28" i="12" s="1"/>
  <c r="D29" i="12" s="1"/>
  <c r="B29" i="12" s="1"/>
  <c r="M20" i="12"/>
  <c r="S4" i="12"/>
  <c r="D18" i="12"/>
  <c r="D16" i="12"/>
  <c r="D19" i="12" s="1"/>
  <c r="Q10" i="12" s="1"/>
  <c r="Q3" i="12"/>
  <c r="I31" i="16"/>
  <c r="D33" i="16"/>
  <c r="B34" i="16"/>
  <c r="H32" i="16"/>
  <c r="F32" i="16"/>
  <c r="G32" i="16"/>
  <c r="C13" i="15"/>
  <c r="E13" i="15" s="1"/>
  <c r="B14" i="15"/>
  <c r="D13" i="15"/>
  <c r="E12" i="15"/>
  <c r="J5" i="13"/>
  <c r="C4" i="11"/>
  <c r="D4" i="11"/>
  <c r="B4" i="11"/>
  <c r="G7" i="11"/>
  <c r="H7" i="11"/>
  <c r="I7" i="11"/>
  <c r="G10" i="11"/>
  <c r="H10" i="11"/>
  <c r="I10" i="11"/>
  <c r="G11" i="11"/>
  <c r="H11" i="11"/>
  <c r="I11" i="11"/>
  <c r="G12" i="1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G41" i="11"/>
  <c r="H41" i="11"/>
  <c r="I41" i="11"/>
  <c r="G42" i="11"/>
  <c r="H42" i="11"/>
  <c r="I42" i="11"/>
  <c r="G43" i="11"/>
  <c r="H43" i="11"/>
  <c r="I43" i="11"/>
  <c r="G44" i="11"/>
  <c r="H44" i="11"/>
  <c r="I44" i="11"/>
  <c r="G45" i="11"/>
  <c r="H45" i="11"/>
  <c r="I45" i="11"/>
  <c r="G46" i="11"/>
  <c r="H46" i="11"/>
  <c r="I46" i="11"/>
  <c r="G47" i="11"/>
  <c r="H47" i="11"/>
  <c r="I47" i="11"/>
  <c r="G48" i="11"/>
  <c r="H48" i="11"/>
  <c r="I48" i="11"/>
  <c r="G49" i="11"/>
  <c r="H49" i="11"/>
  <c r="I49" i="11"/>
  <c r="G50" i="11"/>
  <c r="H50" i="11"/>
  <c r="I50" i="11"/>
  <c r="G51" i="11"/>
  <c r="H51" i="11"/>
  <c r="I51" i="11"/>
  <c r="G52" i="11"/>
  <c r="H52" i="11"/>
  <c r="I52" i="11"/>
  <c r="G53" i="11"/>
  <c r="H53" i="11"/>
  <c r="I53" i="11"/>
  <c r="G54" i="11"/>
  <c r="H54" i="11"/>
  <c r="I54" i="11"/>
  <c r="G55" i="11"/>
  <c r="H55" i="11"/>
  <c r="I55" i="11"/>
  <c r="G56" i="11"/>
  <c r="H56" i="11"/>
  <c r="I56" i="11"/>
  <c r="G57" i="11"/>
  <c r="H57" i="11"/>
  <c r="I57" i="11"/>
  <c r="G58" i="11"/>
  <c r="H58" i="11"/>
  <c r="I58" i="11"/>
  <c r="G59" i="11"/>
  <c r="H59" i="11"/>
  <c r="I59" i="11"/>
  <c r="G60" i="11"/>
  <c r="H60" i="11"/>
  <c r="I60" i="11"/>
  <c r="G61" i="11"/>
  <c r="H61" i="11"/>
  <c r="I61" i="11"/>
  <c r="G62" i="11"/>
  <c r="H62" i="11"/>
  <c r="I62" i="11"/>
  <c r="G63" i="11"/>
  <c r="H63" i="11"/>
  <c r="I63" i="11"/>
  <c r="G64" i="11"/>
  <c r="H64" i="11"/>
  <c r="I64" i="11"/>
  <c r="G65" i="11"/>
  <c r="H65" i="11"/>
  <c r="I65" i="11"/>
  <c r="G66" i="11"/>
  <c r="H66" i="11"/>
  <c r="I66" i="11"/>
  <c r="G67" i="11"/>
  <c r="H67" i="11"/>
  <c r="I67" i="11"/>
  <c r="G68" i="11"/>
  <c r="H68" i="11"/>
  <c r="I68" i="11"/>
  <c r="G69" i="11"/>
  <c r="H69" i="11"/>
  <c r="I69" i="11"/>
  <c r="G70" i="11"/>
  <c r="H70" i="11"/>
  <c r="I70" i="11"/>
  <c r="G71" i="11"/>
  <c r="H71" i="11"/>
  <c r="I71" i="11"/>
  <c r="G72" i="11"/>
  <c r="H72" i="11"/>
  <c r="I72" i="11"/>
  <c r="G73" i="11"/>
  <c r="H73" i="11"/>
  <c r="I73" i="11"/>
  <c r="G74" i="11"/>
  <c r="H74" i="11"/>
  <c r="I74" i="11"/>
  <c r="G75" i="11"/>
  <c r="H75" i="11"/>
  <c r="I75" i="11"/>
  <c r="G76" i="11"/>
  <c r="H76" i="11"/>
  <c r="I76" i="11"/>
  <c r="G77" i="11"/>
  <c r="H77" i="11"/>
  <c r="I77" i="11"/>
  <c r="G78" i="11"/>
  <c r="H78" i="11"/>
  <c r="I78" i="11"/>
  <c r="G79" i="11"/>
  <c r="H79" i="11"/>
  <c r="I79" i="11"/>
  <c r="G80" i="11"/>
  <c r="H80" i="11"/>
  <c r="I80" i="11"/>
  <c r="G81" i="11"/>
  <c r="H81" i="11"/>
  <c r="I81" i="11"/>
  <c r="G82" i="11"/>
  <c r="H82" i="11"/>
  <c r="I82" i="11"/>
  <c r="G83" i="11"/>
  <c r="H83" i="11"/>
  <c r="I83" i="11"/>
  <c r="G84" i="11"/>
  <c r="H84" i="11"/>
  <c r="I84" i="11"/>
  <c r="G85" i="11"/>
  <c r="H85" i="11"/>
  <c r="I85" i="11"/>
  <c r="G86" i="11"/>
  <c r="H86" i="11"/>
  <c r="I86" i="11"/>
  <c r="G87" i="11"/>
  <c r="H87" i="11"/>
  <c r="I87" i="11"/>
  <c r="G88" i="11"/>
  <c r="H88" i="11"/>
  <c r="I88" i="11"/>
  <c r="G89" i="11"/>
  <c r="H89" i="11"/>
  <c r="I89" i="11"/>
  <c r="G90" i="11"/>
  <c r="H90" i="11"/>
  <c r="I90" i="11"/>
  <c r="G91" i="11"/>
  <c r="H91" i="11"/>
  <c r="I91" i="11"/>
  <c r="G92" i="11"/>
  <c r="H92" i="11"/>
  <c r="I92" i="11"/>
  <c r="G93" i="11"/>
  <c r="H93" i="11"/>
  <c r="I93" i="11"/>
  <c r="G94" i="11"/>
  <c r="H94" i="11"/>
  <c r="I94" i="11"/>
  <c r="H9" i="11"/>
  <c r="I9" i="11"/>
  <c r="G9" i="11"/>
  <c r="F7" i="11"/>
  <c r="C6" i="11"/>
  <c r="E6" i="11" s="1"/>
  <c r="B5" i="11"/>
  <c r="C6" i="10"/>
  <c r="E6" i="10" s="1"/>
  <c r="C5" i="10"/>
  <c r="D5" i="10"/>
  <c r="B5" i="10"/>
  <c r="L11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9" i="10"/>
  <c r="L30" i="10"/>
  <c r="L31" i="10"/>
  <c r="L32" i="10"/>
  <c r="L34" i="10"/>
  <c r="L35" i="10"/>
  <c r="L39" i="10"/>
  <c r="L40" i="10"/>
  <c r="L41" i="10"/>
  <c r="L44" i="10"/>
  <c r="L45" i="10"/>
  <c r="L46" i="10"/>
  <c r="L47" i="10"/>
  <c r="L48" i="10"/>
  <c r="L49" i="10"/>
  <c r="L50" i="10"/>
  <c r="L51" i="10"/>
  <c r="L52" i="10"/>
  <c r="L54" i="10"/>
  <c r="L55" i="10"/>
  <c r="L56" i="10"/>
  <c r="L57" i="10"/>
  <c r="L58" i="10"/>
  <c r="L60" i="10"/>
  <c r="L61" i="10"/>
  <c r="L63" i="10"/>
  <c r="L64" i="10"/>
  <c r="L65" i="10"/>
  <c r="L66" i="10"/>
  <c r="L68" i="10"/>
  <c r="L69" i="10"/>
  <c r="L70" i="10"/>
  <c r="L71" i="10"/>
  <c r="L72" i="10"/>
  <c r="L75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2" i="10"/>
  <c r="K92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5" i="10"/>
  <c r="K72" i="10"/>
  <c r="K71" i="10"/>
  <c r="K70" i="10"/>
  <c r="K69" i="10"/>
  <c r="K68" i="10"/>
  <c r="K66" i="10"/>
  <c r="K65" i="10"/>
  <c r="K64" i="10"/>
  <c r="K63" i="10"/>
  <c r="K61" i="10"/>
  <c r="K60" i="10"/>
  <c r="K58" i="10"/>
  <c r="K57" i="10"/>
  <c r="K56" i="10"/>
  <c r="K55" i="10"/>
  <c r="K54" i="10"/>
  <c r="K52" i="10"/>
  <c r="K51" i="10"/>
  <c r="K50" i="10"/>
  <c r="K49" i="10"/>
  <c r="K48" i="10"/>
  <c r="K47" i="10"/>
  <c r="K46" i="10"/>
  <c r="K45" i="10"/>
  <c r="K44" i="10"/>
  <c r="K41" i="10"/>
  <c r="K40" i="10"/>
  <c r="K39" i="10"/>
  <c r="K35" i="10"/>
  <c r="K34" i="10"/>
  <c r="K32" i="10"/>
  <c r="K31" i="10"/>
  <c r="K30" i="10"/>
  <c r="K29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2" i="10"/>
  <c r="K11" i="10"/>
  <c r="I29" i="10"/>
  <c r="I30" i="10"/>
  <c r="I31" i="10"/>
  <c r="I32" i="10"/>
  <c r="I34" i="10"/>
  <c r="I35" i="10"/>
  <c r="I39" i="10"/>
  <c r="I40" i="10"/>
  <c r="I41" i="10"/>
  <c r="I44" i="10"/>
  <c r="I45" i="10"/>
  <c r="I46" i="10"/>
  <c r="I47" i="10"/>
  <c r="I48" i="10"/>
  <c r="I49" i="10"/>
  <c r="I50" i="10"/>
  <c r="I51" i="10"/>
  <c r="I52" i="10"/>
  <c r="I54" i="10"/>
  <c r="I55" i="10"/>
  <c r="I56" i="10"/>
  <c r="I57" i="10"/>
  <c r="I58" i="10"/>
  <c r="I60" i="10"/>
  <c r="I61" i="10"/>
  <c r="I63" i="10"/>
  <c r="I64" i="10"/>
  <c r="I65" i="10"/>
  <c r="I66" i="10"/>
  <c r="I68" i="10"/>
  <c r="I69" i="10"/>
  <c r="I70" i="10"/>
  <c r="I71" i="10"/>
  <c r="I72" i="10"/>
  <c r="I75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2" i="10"/>
  <c r="I11" i="10"/>
  <c r="H94" i="10"/>
  <c r="I94" i="10" s="1"/>
  <c r="J94" i="10" s="1"/>
  <c r="H93" i="10"/>
  <c r="I93" i="10" s="1"/>
  <c r="H92" i="10"/>
  <c r="I92" i="10" s="1"/>
  <c r="H91" i="10"/>
  <c r="I91" i="10" s="1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I76" i="10" s="1"/>
  <c r="H75" i="10"/>
  <c r="H74" i="10"/>
  <c r="I74" i="10" s="1"/>
  <c r="H73" i="10"/>
  <c r="I73" i="10" s="1"/>
  <c r="H72" i="10"/>
  <c r="H71" i="10"/>
  <c r="H70" i="10"/>
  <c r="H69" i="10"/>
  <c r="H68" i="10"/>
  <c r="H67" i="10"/>
  <c r="I67" i="10" s="1"/>
  <c r="H66" i="10"/>
  <c r="H65" i="10"/>
  <c r="H64" i="10"/>
  <c r="H63" i="10"/>
  <c r="H62" i="10"/>
  <c r="I62" i="10" s="1"/>
  <c r="H61" i="10"/>
  <c r="H60" i="10"/>
  <c r="H59" i="10"/>
  <c r="I59" i="10" s="1"/>
  <c r="H58" i="10"/>
  <c r="H57" i="10"/>
  <c r="H56" i="10"/>
  <c r="H55" i="10"/>
  <c r="H54" i="10"/>
  <c r="H53" i="10"/>
  <c r="I53" i="10" s="1"/>
  <c r="H52" i="10"/>
  <c r="H51" i="10"/>
  <c r="H50" i="10"/>
  <c r="H49" i="10"/>
  <c r="H48" i="10"/>
  <c r="H47" i="10"/>
  <c r="H46" i="10"/>
  <c r="H45" i="10"/>
  <c r="H44" i="10"/>
  <c r="H43" i="10"/>
  <c r="I43" i="10" s="1"/>
  <c r="H42" i="10"/>
  <c r="I42" i="10" s="1"/>
  <c r="H41" i="10"/>
  <c r="H40" i="10"/>
  <c r="H39" i="10"/>
  <c r="H38" i="10"/>
  <c r="I38" i="10" s="1"/>
  <c r="H37" i="10"/>
  <c r="I37" i="10" s="1"/>
  <c r="H36" i="10"/>
  <c r="I36" i="10" s="1"/>
  <c r="H35" i="10"/>
  <c r="H34" i="10"/>
  <c r="H33" i="10"/>
  <c r="I33" i="10" s="1"/>
  <c r="H32" i="10"/>
  <c r="H31" i="10"/>
  <c r="H30" i="10"/>
  <c r="H29" i="10"/>
  <c r="H28" i="10"/>
  <c r="I28" i="10" s="1"/>
  <c r="H27" i="10"/>
  <c r="I27" i="10" s="1"/>
  <c r="H26" i="10"/>
  <c r="I26" i="10" s="1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I13" i="10" s="1"/>
  <c r="H12" i="10"/>
  <c r="H11" i="10"/>
  <c r="H10" i="10"/>
  <c r="I10" i="10" s="1"/>
  <c r="H9" i="10"/>
  <c r="I9" i="10" s="1"/>
  <c r="G3" i="10"/>
  <c r="G2" i="10"/>
  <c r="E27" i="23" l="1"/>
  <c r="F26" i="23"/>
  <c r="I26" i="23"/>
  <c r="H26" i="23"/>
  <c r="J26" i="23"/>
  <c r="B25" i="4"/>
  <c r="D34" i="24"/>
  <c r="F33" i="24"/>
  <c r="E33" i="24"/>
  <c r="H33" i="24" s="1"/>
  <c r="Q9" i="12"/>
  <c r="S3" i="12"/>
  <c r="E19" i="12"/>
  <c r="F19" i="12" s="1"/>
  <c r="G19" i="12" s="1"/>
  <c r="O10" i="12"/>
  <c r="O13" i="12" s="1"/>
  <c r="I32" i="16"/>
  <c r="B35" i="16"/>
  <c r="D34" i="16"/>
  <c r="H33" i="16"/>
  <c r="F33" i="16"/>
  <c r="G33" i="16"/>
  <c r="D14" i="15"/>
  <c r="C14" i="15"/>
  <c r="B15" i="15"/>
  <c r="D21" i="12"/>
  <c r="E18" i="12"/>
  <c r="F18" i="12" s="1"/>
  <c r="G18" i="12" s="1"/>
  <c r="K94" i="10"/>
  <c r="L94" i="10" s="1"/>
  <c r="K43" i="10"/>
  <c r="L43" i="10" s="1"/>
  <c r="K59" i="10"/>
  <c r="L59" i="10" s="1"/>
  <c r="K67" i="10"/>
  <c r="L67" i="10" s="1"/>
  <c r="K91" i="10"/>
  <c r="L91" i="10" s="1"/>
  <c r="K28" i="10"/>
  <c r="L28" i="10" s="1"/>
  <c r="K36" i="10"/>
  <c r="L36" i="10" s="1"/>
  <c r="K76" i="10"/>
  <c r="L76" i="10" s="1"/>
  <c r="K27" i="10"/>
  <c r="L27" i="10" s="1"/>
  <c r="K9" i="10"/>
  <c r="L9" i="10" s="1"/>
  <c r="K13" i="10"/>
  <c r="L13" i="10" s="1"/>
  <c r="K33" i="10"/>
  <c r="L33" i="10" s="1"/>
  <c r="K37" i="10"/>
  <c r="L37" i="10" s="1"/>
  <c r="K53" i="10"/>
  <c r="L53" i="10" s="1"/>
  <c r="K73" i="10"/>
  <c r="L73" i="10" s="1"/>
  <c r="K93" i="10"/>
  <c r="L93" i="10" s="1"/>
  <c r="K10" i="10"/>
  <c r="L10" i="10" s="1"/>
  <c r="K26" i="10"/>
  <c r="L26" i="10" s="1"/>
  <c r="K38" i="10"/>
  <c r="L38" i="10" s="1"/>
  <c r="K42" i="10"/>
  <c r="L42" i="10" s="1"/>
  <c r="K62" i="10"/>
  <c r="L62" i="10" s="1"/>
  <c r="K74" i="10"/>
  <c r="L74" i="10" s="1"/>
  <c r="G4" i="10"/>
  <c r="J93" i="10"/>
  <c r="J92" i="10" s="1"/>
  <c r="J91" i="10" s="1"/>
  <c r="J90" i="10" s="1"/>
  <c r="J89" i="10" s="1"/>
  <c r="J88" i="10" s="1"/>
  <c r="J87" i="10" s="1"/>
  <c r="J86" i="10" s="1"/>
  <c r="J85" i="10" s="1"/>
  <c r="J84" i="10" s="1"/>
  <c r="J83" i="10" s="1"/>
  <c r="J82" i="10" s="1"/>
  <c r="J81" i="10" s="1"/>
  <c r="J80" i="10" s="1"/>
  <c r="J79" i="10" s="1"/>
  <c r="J78" i="10" s="1"/>
  <c r="J77" i="10" s="1"/>
  <c r="J76" i="10" s="1"/>
  <c r="J75" i="10" s="1"/>
  <c r="J74" i="10" s="1"/>
  <c r="J73" i="10" s="1"/>
  <c r="J72" i="10" s="1"/>
  <c r="J71" i="10" s="1"/>
  <c r="J70" i="10" s="1"/>
  <c r="J69" i="10" s="1"/>
  <c r="J68" i="10" s="1"/>
  <c r="J67" i="10" s="1"/>
  <c r="J66" i="10" s="1"/>
  <c r="J65" i="10" s="1"/>
  <c r="J64" i="10" s="1"/>
  <c r="J63" i="10" s="1"/>
  <c r="J62" i="10" s="1"/>
  <c r="J61" i="10" s="1"/>
  <c r="J60" i="10" s="1"/>
  <c r="J59" i="10" s="1"/>
  <c r="J58" i="10" s="1"/>
  <c r="J57" i="10" s="1"/>
  <c r="J56" i="10" s="1"/>
  <c r="J55" i="10" s="1"/>
  <c r="J54" i="10" s="1"/>
  <c r="J53" i="10" s="1"/>
  <c r="J52" i="10" s="1"/>
  <c r="J51" i="10" s="1"/>
  <c r="J50" i="10" s="1"/>
  <c r="J49" i="10" s="1"/>
  <c r="J48" i="10" s="1"/>
  <c r="J47" i="10" s="1"/>
  <c r="J46" i="10" s="1"/>
  <c r="J45" i="10" s="1"/>
  <c r="J44" i="10" s="1"/>
  <c r="J43" i="10" s="1"/>
  <c r="J42" i="10" s="1"/>
  <c r="J41" i="10" s="1"/>
  <c r="J40" i="10" s="1"/>
  <c r="J39" i="10" s="1"/>
  <c r="J38" i="10" s="1"/>
  <c r="J37" i="10" s="1"/>
  <c r="J36" i="10" s="1"/>
  <c r="J35" i="10" s="1"/>
  <c r="J34" i="10" s="1"/>
  <c r="J33" i="10" s="1"/>
  <c r="J32" i="10" s="1"/>
  <c r="J31" i="10" s="1"/>
  <c r="J30" i="10" s="1"/>
  <c r="J29" i="10" s="1"/>
  <c r="J28" i="10" s="1"/>
  <c r="J27" i="10" s="1"/>
  <c r="J26" i="10" s="1"/>
  <c r="J25" i="10" s="1"/>
  <c r="J24" i="10" s="1"/>
  <c r="J23" i="10" s="1"/>
  <c r="J22" i="10" s="1"/>
  <c r="J21" i="10" s="1"/>
  <c r="J20" i="10" s="1"/>
  <c r="J19" i="10" s="1"/>
  <c r="J18" i="10" s="1"/>
  <c r="J17" i="10" s="1"/>
  <c r="J16" i="10" s="1"/>
  <c r="J15" i="10" s="1"/>
  <c r="J14" i="10" s="1"/>
  <c r="J13" i="10" s="1"/>
  <c r="J12" i="10" s="1"/>
  <c r="J11" i="10" s="1"/>
  <c r="J10" i="10" s="1"/>
  <c r="J9" i="10" s="1"/>
  <c r="J3" i="10" s="1"/>
  <c r="E23" i="9"/>
  <c r="D23" i="9"/>
  <c r="E22" i="9"/>
  <c r="D22" i="9"/>
  <c r="E21" i="9"/>
  <c r="D21" i="9"/>
  <c r="E20" i="9"/>
  <c r="D20" i="9"/>
  <c r="E19" i="9"/>
  <c r="D19" i="9"/>
  <c r="C11" i="9"/>
  <c r="C9" i="9"/>
  <c r="C12" i="9" s="1"/>
  <c r="E4" i="9"/>
  <c r="E3" i="9"/>
  <c r="E28" i="23" l="1"/>
  <c r="F27" i="23"/>
  <c r="J27" i="23"/>
  <c r="H27" i="23"/>
  <c r="I27" i="23"/>
  <c r="B26" i="4"/>
  <c r="D35" i="24"/>
  <c r="E34" i="24"/>
  <c r="H34" i="24" s="1"/>
  <c r="F34" i="24"/>
  <c r="O9" i="12"/>
  <c r="O12" i="12" s="1"/>
  <c r="I33" i="16"/>
  <c r="H34" i="16"/>
  <c r="F34" i="16"/>
  <c r="G34" i="16"/>
  <c r="D35" i="16"/>
  <c r="B36" i="16"/>
  <c r="C15" i="15"/>
  <c r="E15" i="15" s="1"/>
  <c r="B16" i="15"/>
  <c r="D15" i="15"/>
  <c r="E14" i="15"/>
  <c r="J4" i="10"/>
  <c r="L3" i="10"/>
  <c r="L2" i="10"/>
  <c r="C14" i="9"/>
  <c r="C15" i="9" s="1"/>
  <c r="C16" i="9" s="1"/>
  <c r="E5" i="9"/>
  <c r="E29" i="23" l="1"/>
  <c r="F28" i="23"/>
  <c r="H28" i="23"/>
  <c r="J28" i="23"/>
  <c r="I28" i="23"/>
  <c r="B27" i="4"/>
  <c r="D36" i="24"/>
  <c r="E35" i="24"/>
  <c r="H35" i="24" s="1"/>
  <c r="F35" i="24"/>
  <c r="I34" i="16"/>
  <c r="D36" i="16"/>
  <c r="B37" i="16"/>
  <c r="H35" i="16"/>
  <c r="F35" i="16"/>
  <c r="G35" i="16"/>
  <c r="D16" i="15"/>
  <c r="C16" i="15"/>
  <c r="E16" i="15" s="1"/>
  <c r="B17" i="15"/>
  <c r="F5" i="9"/>
  <c r="F4" i="9"/>
  <c r="F3" i="9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E30" i="23" l="1"/>
  <c r="F29" i="23"/>
  <c r="I29" i="23"/>
  <c r="H29" i="23"/>
  <c r="J29" i="23"/>
  <c r="B28" i="4"/>
  <c r="D37" i="24"/>
  <c r="F36" i="24"/>
  <c r="E36" i="24"/>
  <c r="H36" i="24" s="1"/>
  <c r="I35" i="16"/>
  <c r="D37" i="16"/>
  <c r="B38" i="16"/>
  <c r="H36" i="16"/>
  <c r="F36" i="16"/>
  <c r="G36" i="16"/>
  <c r="D17" i="15"/>
  <c r="C17" i="15"/>
  <c r="B18" i="15"/>
  <c r="G3" i="9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F11" i="5"/>
  <c r="E11" i="5"/>
  <c r="E7" i="5"/>
  <c r="H5" i="5"/>
  <c r="E7" i="6"/>
  <c r="B11" i="6"/>
  <c r="B12" i="6"/>
  <c r="D12" i="6" s="1"/>
  <c r="E12" i="6" s="1"/>
  <c r="B13" i="6"/>
  <c r="B14" i="6"/>
  <c r="D14" i="6" s="1"/>
  <c r="E14" i="6" s="1"/>
  <c r="B15" i="6"/>
  <c r="D15" i="6" s="1"/>
  <c r="E15" i="6" s="1"/>
  <c r="B16" i="6"/>
  <c r="D16" i="6" s="1"/>
  <c r="E16" i="6" s="1"/>
  <c r="B17" i="6"/>
  <c r="B18" i="6"/>
  <c r="D18" i="6" s="1"/>
  <c r="E18" i="6" s="1"/>
  <c r="B19" i="6"/>
  <c r="D19" i="6" s="1"/>
  <c r="E19" i="6" s="1"/>
  <c r="B20" i="6"/>
  <c r="D20" i="6" s="1"/>
  <c r="E20" i="6" s="1"/>
  <c r="B21" i="6"/>
  <c r="B22" i="6"/>
  <c r="D22" i="6" s="1"/>
  <c r="E22" i="6" s="1"/>
  <c r="B23" i="6"/>
  <c r="D23" i="6" s="1"/>
  <c r="E23" i="6" s="1"/>
  <c r="B24" i="6"/>
  <c r="D24" i="6" s="1"/>
  <c r="E24" i="6" s="1"/>
  <c r="B25" i="6"/>
  <c r="B26" i="6"/>
  <c r="D26" i="6" s="1"/>
  <c r="E26" i="6" s="1"/>
  <c r="B27" i="6"/>
  <c r="D27" i="6" s="1"/>
  <c r="E27" i="6" s="1"/>
  <c r="B28" i="6"/>
  <c r="D28" i="6" s="1"/>
  <c r="E28" i="6" s="1"/>
  <c r="B29" i="6"/>
  <c r="D29" i="6" s="1"/>
  <c r="B30" i="6"/>
  <c r="D30" i="6" s="1"/>
  <c r="E30" i="6" s="1"/>
  <c r="B10" i="6"/>
  <c r="D10" i="6" s="1"/>
  <c r="E10" i="6" s="1"/>
  <c r="F10" i="6" s="1"/>
  <c r="D11" i="6"/>
  <c r="E11" i="6" s="1"/>
  <c r="D25" i="6"/>
  <c r="D21" i="6"/>
  <c r="D17" i="6"/>
  <c r="D13" i="6"/>
  <c r="D5" i="6"/>
  <c r="D4" i="6"/>
  <c r="D3" i="6"/>
  <c r="E3" i="5"/>
  <c r="D4" i="5"/>
  <c r="D8" i="5"/>
  <c r="C27" i="5"/>
  <c r="C28" i="5"/>
  <c r="C29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1" i="5"/>
  <c r="D5" i="5"/>
  <c r="D2" i="5"/>
  <c r="D3" i="2"/>
  <c r="D2" i="2"/>
  <c r="B22" i="2"/>
  <c r="D22" i="2" s="1"/>
  <c r="F22" i="2" s="1"/>
  <c r="B24" i="2"/>
  <c r="E31" i="23" l="1"/>
  <c r="F30" i="23"/>
  <c r="J30" i="23"/>
  <c r="I30" i="23"/>
  <c r="H30" i="23"/>
  <c r="B29" i="4"/>
  <c r="D38" i="24"/>
  <c r="E37" i="24"/>
  <c r="H37" i="24" s="1"/>
  <c r="F37" i="24"/>
  <c r="I36" i="16"/>
  <c r="D38" i="16"/>
  <c r="B39" i="16"/>
  <c r="H37" i="16"/>
  <c r="F37" i="16"/>
  <c r="G37" i="16"/>
  <c r="C18" i="15"/>
  <c r="E18" i="15" s="1"/>
  <c r="B19" i="15"/>
  <c r="D18" i="15"/>
  <c r="E17" i="15"/>
  <c r="G28" i="5"/>
  <c r="H14" i="5"/>
  <c r="E13" i="6"/>
  <c r="F13" i="6" s="1"/>
  <c r="E29" i="6"/>
  <c r="F29" i="6" s="1"/>
  <c r="E25" i="6"/>
  <c r="F25" i="6" s="1"/>
  <c r="E21" i="6"/>
  <c r="F21" i="6" s="1"/>
  <c r="E17" i="6"/>
  <c r="F17" i="6" s="1"/>
  <c r="F30" i="6"/>
  <c r="F11" i="6"/>
  <c r="F26" i="6"/>
  <c r="F22" i="6"/>
  <c r="F18" i="6"/>
  <c r="F14" i="6"/>
  <c r="F28" i="6"/>
  <c r="F24" i="6"/>
  <c r="F20" i="6"/>
  <c r="F16" i="6"/>
  <c r="F12" i="6"/>
  <c r="F27" i="6"/>
  <c r="F23" i="6"/>
  <c r="F19" i="6"/>
  <c r="F15" i="6"/>
  <c r="H28" i="5"/>
  <c r="G13" i="5"/>
  <c r="G18" i="5"/>
  <c r="G24" i="5"/>
  <c r="G11" i="5"/>
  <c r="G22" i="5"/>
  <c r="G26" i="5"/>
  <c r="G20" i="5"/>
  <c r="G16" i="5"/>
  <c r="G12" i="5"/>
  <c r="G27" i="5"/>
  <c r="G23" i="5"/>
  <c r="G19" i="5"/>
  <c r="G15" i="5"/>
  <c r="G29" i="5"/>
  <c r="G21" i="5"/>
  <c r="G17" i="5"/>
  <c r="E4" i="4"/>
  <c r="E3" i="4" s="1"/>
  <c r="D4" i="4"/>
  <c r="D3" i="4" s="1"/>
  <c r="B6" i="2"/>
  <c r="D4" i="2"/>
  <c r="E32" i="23" l="1"/>
  <c r="F31" i="23"/>
  <c r="H31" i="23"/>
  <c r="I31" i="23"/>
  <c r="J31" i="23"/>
  <c r="B30" i="4"/>
  <c r="D39" i="24"/>
  <c r="E38" i="24"/>
  <c r="H38" i="24" s="1"/>
  <c r="F38" i="24"/>
  <c r="I37" i="16"/>
  <c r="D39" i="16"/>
  <c r="B40" i="16"/>
  <c r="H38" i="16"/>
  <c r="G38" i="16"/>
  <c r="F38" i="16"/>
  <c r="D19" i="15"/>
  <c r="C19" i="15"/>
  <c r="B20" i="15"/>
  <c r="H22" i="5"/>
  <c r="H12" i="5"/>
  <c r="H17" i="5"/>
  <c r="H15" i="5"/>
  <c r="G25" i="5"/>
  <c r="H19" i="5"/>
  <c r="G14" i="5"/>
  <c r="H18" i="5"/>
  <c r="H20" i="5"/>
  <c r="H25" i="5"/>
  <c r="H29" i="5"/>
  <c r="H26" i="5"/>
  <c r="H23" i="5"/>
  <c r="H13" i="5"/>
  <c r="H16" i="5"/>
  <c r="H11" i="5"/>
  <c r="H27" i="5"/>
  <c r="H21" i="5"/>
  <c r="H24" i="5"/>
  <c r="F4" i="2"/>
  <c r="F24" i="2"/>
  <c r="H24" i="2" s="1"/>
  <c r="D25" i="2"/>
  <c r="I25" i="2" s="1"/>
  <c r="E14" i="4"/>
  <c r="E18" i="4"/>
  <c r="E30" i="4"/>
  <c r="E22" i="4"/>
  <c r="E10" i="4"/>
  <c r="E26" i="4"/>
  <c r="E11" i="4"/>
  <c r="E15" i="4"/>
  <c r="E19" i="4"/>
  <c r="E23" i="4"/>
  <c r="E27" i="4"/>
  <c r="E12" i="4"/>
  <c r="E16" i="4"/>
  <c r="E20" i="4"/>
  <c r="E24" i="4"/>
  <c r="E28" i="4"/>
  <c r="E9" i="4"/>
  <c r="E13" i="4"/>
  <c r="E17" i="4"/>
  <c r="E21" i="4"/>
  <c r="E25" i="4"/>
  <c r="E29" i="4"/>
  <c r="D13" i="4"/>
  <c r="D12" i="4"/>
  <c r="D21" i="4"/>
  <c r="D25" i="4"/>
  <c r="D17" i="4"/>
  <c r="D28" i="4"/>
  <c r="D9" i="4"/>
  <c r="D20" i="4"/>
  <c r="D29" i="4"/>
  <c r="D16" i="4"/>
  <c r="D24" i="4"/>
  <c r="D10" i="4"/>
  <c r="D14" i="4"/>
  <c r="D18" i="4"/>
  <c r="D22" i="4"/>
  <c r="D26" i="4"/>
  <c r="D30" i="4"/>
  <c r="D11" i="4"/>
  <c r="D15" i="4"/>
  <c r="D19" i="4"/>
  <c r="D23" i="4"/>
  <c r="D27" i="4"/>
  <c r="D7" i="2"/>
  <c r="F7" i="2" s="1"/>
  <c r="H7" i="2" s="1"/>
  <c r="F6" i="2"/>
  <c r="D7" i="3"/>
  <c r="D9" i="3"/>
  <c r="D8" i="3"/>
  <c r="D6" i="3"/>
  <c r="D5" i="3"/>
  <c r="D4" i="3"/>
  <c r="D12" i="3" s="1"/>
  <c r="B12" i="3" s="1"/>
  <c r="D3" i="3"/>
  <c r="E33" i="23" l="1"/>
  <c r="F32" i="23"/>
  <c r="I32" i="23"/>
  <c r="J32" i="23"/>
  <c r="H32" i="23"/>
  <c r="B31" i="4"/>
  <c r="Y30" i="4"/>
  <c r="D40" i="24"/>
  <c r="E39" i="24"/>
  <c r="H39" i="24" s="1"/>
  <c r="F39" i="24"/>
  <c r="I38" i="16"/>
  <c r="D40" i="16"/>
  <c r="B41" i="16"/>
  <c r="H39" i="16"/>
  <c r="F39" i="16"/>
  <c r="G39" i="16"/>
  <c r="C20" i="15"/>
  <c r="E20" i="15" s="1"/>
  <c r="B21" i="15"/>
  <c r="D20" i="15"/>
  <c r="E19" i="15"/>
  <c r="H6" i="2"/>
  <c r="F25" i="2"/>
  <c r="H25" i="2" s="1"/>
  <c r="B25" i="2"/>
  <c r="D26" i="2"/>
  <c r="I6" i="2"/>
  <c r="I24" i="2"/>
  <c r="I7" i="2"/>
  <c r="F21" i="4"/>
  <c r="F15" i="4"/>
  <c r="F17" i="4"/>
  <c r="F20" i="4"/>
  <c r="F27" i="4"/>
  <c r="F11" i="4"/>
  <c r="F22" i="4"/>
  <c r="F24" i="4"/>
  <c r="F29" i="4"/>
  <c r="F13" i="4"/>
  <c r="F16" i="4"/>
  <c r="F23" i="4"/>
  <c r="F26" i="4"/>
  <c r="F30" i="4"/>
  <c r="V30" i="4" s="1"/>
  <c r="F14" i="4"/>
  <c r="F25" i="4"/>
  <c r="F9" i="4"/>
  <c r="F28" i="4"/>
  <c r="F12" i="4"/>
  <c r="F19" i="4"/>
  <c r="F10" i="4"/>
  <c r="F18" i="4"/>
  <c r="D8" i="2"/>
  <c r="I8" i="2" s="1"/>
  <c r="B7" i="2"/>
  <c r="D11" i="3"/>
  <c r="B14" i="1"/>
  <c r="D4" i="1"/>
  <c r="D11" i="1" s="1"/>
  <c r="B11" i="1" s="1"/>
  <c r="D3" i="1"/>
  <c r="D10" i="1" s="1"/>
  <c r="B10" i="1" s="1"/>
  <c r="E34" i="23" l="1"/>
  <c r="F33" i="23"/>
  <c r="J33" i="23"/>
  <c r="I33" i="23"/>
  <c r="H33" i="23"/>
  <c r="U14" i="4"/>
  <c r="V14" i="4"/>
  <c r="Y14" i="4"/>
  <c r="X14" i="4"/>
  <c r="W14" i="4"/>
  <c r="U22" i="4"/>
  <c r="X22" i="4"/>
  <c r="V22" i="4"/>
  <c r="Y22" i="4"/>
  <c r="W22" i="4"/>
  <c r="Y18" i="4"/>
  <c r="V18" i="4"/>
  <c r="U18" i="4"/>
  <c r="X18" i="4"/>
  <c r="W18" i="4"/>
  <c r="Y25" i="4"/>
  <c r="V25" i="4"/>
  <c r="U25" i="4"/>
  <c r="X25" i="4"/>
  <c r="W25" i="4"/>
  <c r="X29" i="4"/>
  <c r="U29" i="4"/>
  <c r="W29" i="4"/>
  <c r="V29" i="4"/>
  <c r="Y29" i="4"/>
  <c r="X30" i="4"/>
  <c r="W15" i="4"/>
  <c r="V15" i="4"/>
  <c r="U15" i="4"/>
  <c r="X15" i="4"/>
  <c r="Y15" i="4"/>
  <c r="V9" i="4"/>
  <c r="X9" i="4"/>
  <c r="U9" i="4"/>
  <c r="Y9" i="4"/>
  <c r="W9" i="4"/>
  <c r="Y13" i="4"/>
  <c r="W13" i="4"/>
  <c r="V13" i="4"/>
  <c r="U13" i="4"/>
  <c r="X13" i="4"/>
  <c r="Y20" i="4"/>
  <c r="X20" i="4"/>
  <c r="W20" i="4"/>
  <c r="V20" i="4"/>
  <c r="U20" i="4"/>
  <c r="B32" i="4"/>
  <c r="E31" i="4"/>
  <c r="D31" i="4"/>
  <c r="Y12" i="4"/>
  <c r="X12" i="4"/>
  <c r="W12" i="4"/>
  <c r="V12" i="4"/>
  <c r="U12" i="4"/>
  <c r="Y16" i="4"/>
  <c r="X16" i="4"/>
  <c r="W16" i="4"/>
  <c r="V16" i="4"/>
  <c r="U16" i="4"/>
  <c r="W11" i="4"/>
  <c r="U11" i="4"/>
  <c r="X11" i="4"/>
  <c r="Y11" i="4"/>
  <c r="V11" i="4"/>
  <c r="U10" i="4"/>
  <c r="X10" i="4"/>
  <c r="V10" i="4"/>
  <c r="Y10" i="4"/>
  <c r="W10" i="4"/>
  <c r="Y28" i="4"/>
  <c r="X28" i="4"/>
  <c r="W28" i="4"/>
  <c r="V28" i="4"/>
  <c r="U28" i="4"/>
  <c r="U26" i="4"/>
  <c r="V26" i="4"/>
  <c r="Y26" i="4"/>
  <c r="W26" i="4"/>
  <c r="X26" i="4"/>
  <c r="V24" i="4"/>
  <c r="X24" i="4"/>
  <c r="W24" i="4"/>
  <c r="U24" i="4"/>
  <c r="Y24" i="4"/>
  <c r="W27" i="4"/>
  <c r="U27" i="4"/>
  <c r="Y27" i="4"/>
  <c r="V27" i="4"/>
  <c r="X27" i="4"/>
  <c r="U21" i="4"/>
  <c r="X21" i="4"/>
  <c r="W21" i="4"/>
  <c r="V21" i="4"/>
  <c r="Y21" i="4"/>
  <c r="W30" i="4"/>
  <c r="W19" i="4"/>
  <c r="V19" i="4"/>
  <c r="U19" i="4"/>
  <c r="X19" i="4"/>
  <c r="Y19" i="4"/>
  <c r="V23" i="4"/>
  <c r="W23" i="4"/>
  <c r="U23" i="4"/>
  <c r="X23" i="4"/>
  <c r="Y23" i="4"/>
  <c r="U17" i="4"/>
  <c r="X17" i="4"/>
  <c r="W17" i="4"/>
  <c r="V17" i="4"/>
  <c r="Y17" i="4"/>
  <c r="U30" i="4"/>
  <c r="D41" i="24"/>
  <c r="F40" i="24"/>
  <c r="E40" i="24"/>
  <c r="H40" i="24" s="1"/>
  <c r="T19" i="4"/>
  <c r="J19" i="4"/>
  <c r="T23" i="4"/>
  <c r="J23" i="4"/>
  <c r="T17" i="4"/>
  <c r="J17" i="4"/>
  <c r="G9" i="4"/>
  <c r="T9" i="4"/>
  <c r="J9" i="4"/>
  <c r="T22" i="4"/>
  <c r="J22" i="4"/>
  <c r="T18" i="4"/>
  <c r="J18" i="4"/>
  <c r="T12" i="4"/>
  <c r="J12" i="4"/>
  <c r="T25" i="4"/>
  <c r="J25" i="4"/>
  <c r="T30" i="4"/>
  <c r="J30" i="4"/>
  <c r="T16" i="4"/>
  <c r="J16" i="4"/>
  <c r="T29" i="4"/>
  <c r="J29" i="4"/>
  <c r="T11" i="4"/>
  <c r="J11" i="4"/>
  <c r="T14" i="4"/>
  <c r="J14" i="4"/>
  <c r="T13" i="4"/>
  <c r="J13" i="4"/>
  <c r="T20" i="4"/>
  <c r="J20" i="4"/>
  <c r="T10" i="4"/>
  <c r="J10" i="4"/>
  <c r="T28" i="4"/>
  <c r="J28" i="4"/>
  <c r="T26" i="4"/>
  <c r="J26" i="4"/>
  <c r="T24" i="4"/>
  <c r="J24" i="4"/>
  <c r="T27" i="4"/>
  <c r="J27" i="4"/>
  <c r="T15" i="4"/>
  <c r="J15" i="4"/>
  <c r="T21" i="4"/>
  <c r="J21" i="4"/>
  <c r="H40" i="16"/>
  <c r="F40" i="16"/>
  <c r="G40" i="16"/>
  <c r="I39" i="16"/>
  <c r="B42" i="16"/>
  <c r="D41" i="16"/>
  <c r="D21" i="15"/>
  <c r="C21" i="15"/>
  <c r="E21" i="15" s="1"/>
  <c r="B22" i="15"/>
  <c r="I26" i="2"/>
  <c r="F26" i="2"/>
  <c r="H26" i="2" s="1"/>
  <c r="D27" i="2"/>
  <c r="B26" i="2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B8" i="2"/>
  <c r="D9" i="2"/>
  <c r="I9" i="2" s="1"/>
  <c r="F8" i="2"/>
  <c r="H8" i="2" s="1"/>
  <c r="D16" i="3"/>
  <c r="B16" i="3" s="1"/>
  <c r="G21" i="3"/>
  <c r="D14" i="3"/>
  <c r="G18" i="3" s="1"/>
  <c r="B11" i="3"/>
  <c r="D7" i="1"/>
  <c r="D15" i="1" s="1"/>
  <c r="D12" i="1"/>
  <c r="B12" i="1" s="1"/>
  <c r="D6" i="1"/>
  <c r="D8" i="1" s="1"/>
  <c r="B8" i="1" s="1"/>
  <c r="E35" i="23" l="1"/>
  <c r="F34" i="23"/>
  <c r="J34" i="23"/>
  <c r="I34" i="23"/>
  <c r="H34" i="23"/>
  <c r="F31" i="4"/>
  <c r="B33" i="4"/>
  <c r="D32" i="4"/>
  <c r="E32" i="4"/>
  <c r="D42" i="24"/>
  <c r="F41" i="24"/>
  <c r="E41" i="24"/>
  <c r="H41" i="24" s="1"/>
  <c r="I40" i="16"/>
  <c r="D42" i="16"/>
  <c r="B43" i="16"/>
  <c r="F41" i="16"/>
  <c r="H41" i="16"/>
  <c r="G41" i="16"/>
  <c r="C22" i="15"/>
  <c r="E22" i="15" s="1"/>
  <c r="B23" i="15"/>
  <c r="D22" i="15"/>
  <c r="I27" i="2"/>
  <c r="F27" i="2"/>
  <c r="H27" i="2" s="1"/>
  <c r="B27" i="2"/>
  <c r="D28" i="2"/>
  <c r="D10" i="2"/>
  <c r="I10" i="2" s="1"/>
  <c r="B9" i="2"/>
  <c r="F9" i="2"/>
  <c r="H9" i="2" s="1"/>
  <c r="G17" i="3"/>
  <c r="G19" i="3" s="1"/>
  <c r="G20" i="3" s="1"/>
  <c r="D18" i="3" s="1"/>
  <c r="B14" i="3"/>
  <c r="D16" i="1"/>
  <c r="B16" i="1" s="1"/>
  <c r="B15" i="1"/>
  <c r="B7" i="1"/>
  <c r="D14" i="1"/>
  <c r="B6" i="1"/>
  <c r="E36" i="23" l="1"/>
  <c r="F35" i="23"/>
  <c r="I35" i="23"/>
  <c r="J35" i="23"/>
  <c r="H35" i="23"/>
  <c r="V31" i="4"/>
  <c r="Y31" i="4"/>
  <c r="J31" i="4"/>
  <c r="W31" i="4"/>
  <c r="U31" i="4"/>
  <c r="X31" i="4"/>
  <c r="T31" i="4"/>
  <c r="F32" i="4"/>
  <c r="B34" i="4"/>
  <c r="E33" i="4"/>
  <c r="D33" i="4"/>
  <c r="G31" i="4"/>
  <c r="D43" i="24"/>
  <c r="E42" i="24"/>
  <c r="H42" i="24" s="1"/>
  <c r="F42" i="24"/>
  <c r="I41" i="16"/>
  <c r="B44" i="16"/>
  <c r="D43" i="16"/>
  <c r="H42" i="16"/>
  <c r="F42" i="16"/>
  <c r="G42" i="16"/>
  <c r="D23" i="15"/>
  <c r="C23" i="15"/>
  <c r="E23" i="15" s="1"/>
  <c r="B24" i="15"/>
  <c r="I28" i="2"/>
  <c r="F28" i="2"/>
  <c r="H28" i="2" s="1"/>
  <c r="D29" i="2"/>
  <c r="B28" i="2"/>
  <c r="D11" i="2"/>
  <c r="I11" i="2" s="1"/>
  <c r="F10" i="2"/>
  <c r="H10" i="2" s="1"/>
  <c r="B10" i="2"/>
  <c r="E37" i="23" l="1"/>
  <c r="F36" i="23"/>
  <c r="H36" i="23"/>
  <c r="J36" i="23"/>
  <c r="I36" i="23"/>
  <c r="J32" i="4"/>
  <c r="T32" i="4"/>
  <c r="X32" i="4"/>
  <c r="W32" i="4"/>
  <c r="Y32" i="4"/>
  <c r="U32" i="4"/>
  <c r="V32" i="4"/>
  <c r="G32" i="4"/>
  <c r="B35" i="4"/>
  <c r="D34" i="4"/>
  <c r="E34" i="4"/>
  <c r="F33" i="4"/>
  <c r="D44" i="24"/>
  <c r="E43" i="24"/>
  <c r="H43" i="24" s="1"/>
  <c r="F43" i="24"/>
  <c r="I42" i="16"/>
  <c r="F43" i="16"/>
  <c r="H43" i="16"/>
  <c r="G43" i="16"/>
  <c r="D44" i="16"/>
  <c r="B45" i="16"/>
  <c r="D24" i="15"/>
  <c r="C24" i="15"/>
  <c r="E24" i="15" s="1"/>
  <c r="B25" i="15"/>
  <c r="I29" i="2"/>
  <c r="F29" i="2"/>
  <c r="H29" i="2" s="1"/>
  <c r="D30" i="2"/>
  <c r="B29" i="2"/>
  <c r="D12" i="2"/>
  <c r="I12" i="2" s="1"/>
  <c r="B11" i="2"/>
  <c r="F11" i="2"/>
  <c r="H11" i="2" s="1"/>
  <c r="E38" i="23" l="1"/>
  <c r="F37" i="23"/>
  <c r="J37" i="23"/>
  <c r="I37" i="23"/>
  <c r="H37" i="23"/>
  <c r="J33" i="4"/>
  <c r="T33" i="4"/>
  <c r="U33" i="4"/>
  <c r="X33" i="4"/>
  <c r="Y33" i="4"/>
  <c r="W33" i="4"/>
  <c r="V33" i="4"/>
  <c r="F34" i="4"/>
  <c r="B36" i="4"/>
  <c r="D35" i="4"/>
  <c r="E35" i="4"/>
  <c r="G33" i="4"/>
  <c r="G34" i="4" s="1"/>
  <c r="D45" i="24"/>
  <c r="F44" i="24"/>
  <c r="E44" i="24"/>
  <c r="H44" i="24" s="1"/>
  <c r="I43" i="16"/>
  <c r="H44" i="16"/>
  <c r="G44" i="16"/>
  <c r="F44" i="16"/>
  <c r="B46" i="16"/>
  <c r="D45" i="16"/>
  <c r="C25" i="15"/>
  <c r="E25" i="15" s="1"/>
  <c r="B26" i="15"/>
  <c r="D25" i="15"/>
  <c r="I30" i="2"/>
  <c r="F30" i="2"/>
  <c r="H30" i="2" s="1"/>
  <c r="D31" i="2"/>
  <c r="B30" i="2"/>
  <c r="D13" i="2"/>
  <c r="I13" i="2" s="1"/>
  <c r="B12" i="2"/>
  <c r="F12" i="2"/>
  <c r="H12" i="2" s="1"/>
  <c r="E39" i="23" l="1"/>
  <c r="F38" i="23"/>
  <c r="I38" i="23"/>
  <c r="H38" i="23"/>
  <c r="J38" i="23"/>
  <c r="F35" i="4"/>
  <c r="G35" i="4"/>
  <c r="B37" i="4"/>
  <c r="E36" i="4"/>
  <c r="D36" i="4"/>
  <c r="T34" i="4"/>
  <c r="J34" i="4"/>
  <c r="X34" i="4"/>
  <c r="W34" i="4"/>
  <c r="Y34" i="4"/>
  <c r="V34" i="4"/>
  <c r="U34" i="4"/>
  <c r="D46" i="24"/>
  <c r="E45" i="24"/>
  <c r="H45" i="24" s="1"/>
  <c r="F45" i="24"/>
  <c r="F45" i="16"/>
  <c r="H45" i="16"/>
  <c r="G45" i="16"/>
  <c r="D46" i="16"/>
  <c r="B47" i="16"/>
  <c r="I44" i="16"/>
  <c r="D26" i="15"/>
  <c r="C26" i="15"/>
  <c r="B27" i="15"/>
  <c r="F31" i="2"/>
  <c r="H31" i="2" s="1"/>
  <c r="I31" i="2"/>
  <c r="D32" i="2"/>
  <c r="B31" i="2"/>
  <c r="B13" i="2"/>
  <c r="D14" i="2"/>
  <c r="I14" i="2" s="1"/>
  <c r="F13" i="2"/>
  <c r="H13" i="2" s="1"/>
  <c r="E40" i="23" l="1"/>
  <c r="F39" i="23"/>
  <c r="I39" i="23"/>
  <c r="H39" i="23"/>
  <c r="J39" i="23"/>
  <c r="F36" i="4"/>
  <c r="G36" i="4"/>
  <c r="J35" i="4"/>
  <c r="T35" i="4"/>
  <c r="U35" i="4"/>
  <c r="X35" i="4"/>
  <c r="V35" i="4"/>
  <c r="Y35" i="4"/>
  <c r="W35" i="4"/>
  <c r="B38" i="4"/>
  <c r="D37" i="4"/>
  <c r="E37" i="4"/>
  <c r="D47" i="24"/>
  <c r="E46" i="24"/>
  <c r="H46" i="24" s="1"/>
  <c r="F46" i="24"/>
  <c r="I45" i="16"/>
  <c r="H46" i="16"/>
  <c r="G46" i="16"/>
  <c r="F46" i="16"/>
  <c r="B48" i="16"/>
  <c r="D47" i="16"/>
  <c r="C27" i="15"/>
  <c r="E27" i="15" s="1"/>
  <c r="B28" i="15"/>
  <c r="D27" i="15"/>
  <c r="E26" i="15"/>
  <c r="F32" i="2"/>
  <c r="H32" i="2" s="1"/>
  <c r="I32" i="2"/>
  <c r="B32" i="2"/>
  <c r="D33" i="2"/>
  <c r="D15" i="2"/>
  <c r="I15" i="2" s="1"/>
  <c r="F14" i="2"/>
  <c r="H14" i="2" s="1"/>
  <c r="B14" i="2"/>
  <c r="E41" i="23" l="1"/>
  <c r="F40" i="23"/>
  <c r="H40" i="23"/>
  <c r="I40" i="23"/>
  <c r="J40" i="23"/>
  <c r="B39" i="4"/>
  <c r="D38" i="4"/>
  <c r="F38" i="4" s="1"/>
  <c r="U38" i="4" s="1"/>
  <c r="E38" i="4"/>
  <c r="F37" i="4"/>
  <c r="T36" i="4"/>
  <c r="J36" i="4"/>
  <c r="Y36" i="4"/>
  <c r="X36" i="4"/>
  <c r="W36" i="4"/>
  <c r="V36" i="4"/>
  <c r="U36" i="4"/>
  <c r="D48" i="24"/>
  <c r="E47" i="24"/>
  <c r="H47" i="24" s="1"/>
  <c r="F47" i="24"/>
  <c r="F47" i="16"/>
  <c r="H47" i="16"/>
  <c r="G47" i="16"/>
  <c r="D48" i="16"/>
  <c r="B49" i="16"/>
  <c r="I46" i="16"/>
  <c r="D28" i="15"/>
  <c r="C28" i="15"/>
  <c r="B29" i="15"/>
  <c r="F33" i="2"/>
  <c r="H33" i="2" s="1"/>
  <c r="I33" i="2"/>
  <c r="D34" i="2"/>
  <c r="B33" i="2"/>
  <c r="B15" i="2"/>
  <c r="D16" i="2"/>
  <c r="I16" i="2" s="1"/>
  <c r="F15" i="2"/>
  <c r="H15" i="2" s="1"/>
  <c r="E42" i="23" l="1"/>
  <c r="F41" i="23"/>
  <c r="H41" i="23"/>
  <c r="I41" i="23"/>
  <c r="J41" i="23"/>
  <c r="W38" i="4"/>
  <c r="V38" i="4"/>
  <c r="J37" i="4"/>
  <c r="T37" i="4"/>
  <c r="Y37" i="4"/>
  <c r="W37" i="4"/>
  <c r="V37" i="4"/>
  <c r="X37" i="4"/>
  <c r="U37" i="4"/>
  <c r="B40" i="4"/>
  <c r="D39" i="4"/>
  <c r="F39" i="4" s="1"/>
  <c r="V39" i="4" s="1"/>
  <c r="E39" i="4"/>
  <c r="J38" i="4"/>
  <c r="T38" i="4"/>
  <c r="Y38" i="4"/>
  <c r="X38" i="4"/>
  <c r="G37" i="4"/>
  <c r="G38" i="4" s="1"/>
  <c r="D49" i="24"/>
  <c r="F48" i="24"/>
  <c r="E48" i="24"/>
  <c r="H48" i="24" s="1"/>
  <c r="I47" i="16"/>
  <c r="B50" i="16"/>
  <c r="D49" i="16"/>
  <c r="H48" i="16"/>
  <c r="G48" i="16"/>
  <c r="F48" i="16"/>
  <c r="D29" i="15"/>
  <c r="C29" i="15"/>
  <c r="E29" i="15" s="1"/>
  <c r="B30" i="15"/>
  <c r="E28" i="15"/>
  <c r="F34" i="2"/>
  <c r="H34" i="2" s="1"/>
  <c r="I34" i="2"/>
  <c r="B34" i="2"/>
  <c r="B16" i="2"/>
  <c r="F16" i="2"/>
  <c r="H16" i="2" s="1"/>
  <c r="E43" i="23" l="1"/>
  <c r="F42" i="23"/>
  <c r="J42" i="23"/>
  <c r="I42" i="23"/>
  <c r="H42" i="23"/>
  <c r="Y39" i="4"/>
  <c r="X39" i="4"/>
  <c r="U39" i="4"/>
  <c r="G39" i="4"/>
  <c r="B41" i="4"/>
  <c r="E40" i="4"/>
  <c r="D40" i="4"/>
  <c r="F40" i="4" s="1"/>
  <c r="J39" i="4"/>
  <c r="T39" i="4"/>
  <c r="W39" i="4"/>
  <c r="D50" i="24"/>
  <c r="F49" i="24"/>
  <c r="E49" i="24"/>
  <c r="H49" i="24" s="1"/>
  <c r="I48" i="16"/>
  <c r="H49" i="16"/>
  <c r="F49" i="16"/>
  <c r="G49" i="16"/>
  <c r="D50" i="16"/>
  <c r="B51" i="16"/>
  <c r="C30" i="15"/>
  <c r="B31" i="15"/>
  <c r="D30" i="15"/>
  <c r="E44" i="23" l="1"/>
  <c r="F43" i="23"/>
  <c r="H43" i="23"/>
  <c r="I43" i="23"/>
  <c r="J43" i="23"/>
  <c r="T40" i="4"/>
  <c r="J40" i="4"/>
  <c r="Y40" i="4"/>
  <c r="G40" i="4"/>
  <c r="X40" i="4"/>
  <c r="U40" i="4"/>
  <c r="W40" i="4"/>
  <c r="V40" i="4"/>
  <c r="B42" i="4"/>
  <c r="D41" i="4"/>
  <c r="E41" i="4"/>
  <c r="D51" i="24"/>
  <c r="E50" i="24"/>
  <c r="H50" i="24" s="1"/>
  <c r="F50" i="24"/>
  <c r="I49" i="16"/>
  <c r="H50" i="16"/>
  <c r="F50" i="16"/>
  <c r="G50" i="16"/>
  <c r="B52" i="16"/>
  <c r="D51" i="16"/>
  <c r="D31" i="15"/>
  <c r="C31" i="15"/>
  <c r="B32" i="15"/>
  <c r="E30" i="15"/>
  <c r="E45" i="23" l="1"/>
  <c r="F44" i="23"/>
  <c r="H44" i="23"/>
  <c r="I44" i="23"/>
  <c r="J44" i="23"/>
  <c r="F41" i="4"/>
  <c r="B43" i="4"/>
  <c r="V42" i="4"/>
  <c r="U42" i="4"/>
  <c r="Y42" i="4"/>
  <c r="E42" i="4"/>
  <c r="D42" i="4"/>
  <c r="F42" i="4" s="1"/>
  <c r="D52" i="24"/>
  <c r="E51" i="24"/>
  <c r="H51" i="24" s="1"/>
  <c r="F51" i="24"/>
  <c r="I50" i="16"/>
  <c r="D52" i="16"/>
  <c r="B53" i="16"/>
  <c r="H51" i="16"/>
  <c r="G51" i="16"/>
  <c r="F51" i="16"/>
  <c r="D32" i="15"/>
  <c r="C32" i="15"/>
  <c r="E32" i="15" s="1"/>
  <c r="B33" i="15"/>
  <c r="E31" i="15"/>
  <c r="E46" i="23" l="1"/>
  <c r="F45" i="23"/>
  <c r="I45" i="23"/>
  <c r="J45" i="23"/>
  <c r="H45" i="23"/>
  <c r="J42" i="4"/>
  <c r="T42" i="4"/>
  <c r="W42" i="4"/>
  <c r="J41" i="4"/>
  <c r="T41" i="4"/>
  <c r="Y41" i="4"/>
  <c r="V41" i="4"/>
  <c r="W41" i="4"/>
  <c r="U41" i="4"/>
  <c r="X41" i="4"/>
  <c r="B44" i="4"/>
  <c r="U43" i="4"/>
  <c r="W43" i="4"/>
  <c r="X43" i="4"/>
  <c r="E43" i="4"/>
  <c r="D43" i="4"/>
  <c r="F43" i="4" s="1"/>
  <c r="X42" i="4"/>
  <c r="G41" i="4"/>
  <c r="G42" i="4" s="1"/>
  <c r="G43" i="4" s="1"/>
  <c r="D53" i="24"/>
  <c r="F52" i="24"/>
  <c r="E52" i="24"/>
  <c r="H52" i="24" s="1"/>
  <c r="I51" i="16"/>
  <c r="H52" i="16"/>
  <c r="F52" i="16"/>
  <c r="G52" i="16"/>
  <c r="B54" i="16"/>
  <c r="D53" i="16"/>
  <c r="C33" i="15"/>
  <c r="E33" i="15" s="1"/>
  <c r="B34" i="15"/>
  <c r="D33" i="15"/>
  <c r="E47" i="23" l="1"/>
  <c r="F46" i="23"/>
  <c r="I46" i="23"/>
  <c r="J46" i="23"/>
  <c r="H46" i="23"/>
  <c r="B45" i="4"/>
  <c r="D44" i="4"/>
  <c r="E44" i="4"/>
  <c r="J43" i="4"/>
  <c r="T43" i="4"/>
  <c r="V43" i="4"/>
  <c r="Y43" i="4"/>
  <c r="D54" i="24"/>
  <c r="E53" i="24"/>
  <c r="H53" i="24" s="1"/>
  <c r="F53" i="24"/>
  <c r="I52" i="16"/>
  <c r="H53" i="16"/>
  <c r="F53" i="16"/>
  <c r="G53" i="16"/>
  <c r="D54" i="16"/>
  <c r="B55" i="16"/>
  <c r="D34" i="15"/>
  <c r="C34" i="15"/>
  <c r="B35" i="15"/>
  <c r="E48" i="23" l="1"/>
  <c r="F47" i="23"/>
  <c r="J47" i="23"/>
  <c r="H47" i="23"/>
  <c r="I47" i="23"/>
  <c r="F44" i="4"/>
  <c r="B46" i="4"/>
  <c r="E45" i="4"/>
  <c r="D45" i="4"/>
  <c r="D55" i="24"/>
  <c r="E54" i="24"/>
  <c r="H54" i="24" s="1"/>
  <c r="F54" i="24"/>
  <c r="I53" i="16"/>
  <c r="B56" i="16"/>
  <c r="D55" i="16"/>
  <c r="H54" i="16"/>
  <c r="F54" i="16"/>
  <c r="G54" i="16"/>
  <c r="D35" i="15"/>
  <c r="C35" i="15"/>
  <c r="E35" i="15" s="1"/>
  <c r="B36" i="15"/>
  <c r="E34" i="15"/>
  <c r="E49" i="23" l="1"/>
  <c r="F48" i="23"/>
  <c r="J48" i="23"/>
  <c r="I48" i="23"/>
  <c r="H48" i="23"/>
  <c r="B47" i="4"/>
  <c r="E46" i="4"/>
  <c r="D46" i="4"/>
  <c r="F46" i="4" s="1"/>
  <c r="V46" i="4" s="1"/>
  <c r="F45" i="4"/>
  <c r="T44" i="4"/>
  <c r="J44" i="4"/>
  <c r="Y44" i="4"/>
  <c r="V44" i="4"/>
  <c r="U44" i="4"/>
  <c r="X44" i="4"/>
  <c r="W44" i="4"/>
  <c r="G44" i="4"/>
  <c r="G45" i="4" s="1"/>
  <c r="D56" i="24"/>
  <c r="E55" i="24"/>
  <c r="H55" i="24" s="1"/>
  <c r="F55" i="24"/>
  <c r="I54" i="16"/>
  <c r="H55" i="16"/>
  <c r="F55" i="16"/>
  <c r="G55" i="16"/>
  <c r="D56" i="16"/>
  <c r="B57" i="16"/>
  <c r="C36" i="15"/>
  <c r="B37" i="15"/>
  <c r="D36" i="15"/>
  <c r="E50" i="23" l="1"/>
  <c r="F49" i="23"/>
  <c r="I49" i="23"/>
  <c r="H49" i="23"/>
  <c r="J49" i="23"/>
  <c r="W46" i="4"/>
  <c r="X46" i="4"/>
  <c r="Y46" i="4"/>
  <c r="T46" i="4"/>
  <c r="J46" i="4"/>
  <c r="G46" i="4"/>
  <c r="T45" i="4"/>
  <c r="J45" i="4"/>
  <c r="X45" i="4"/>
  <c r="V45" i="4"/>
  <c r="U45" i="4"/>
  <c r="W45" i="4"/>
  <c r="Y45" i="4"/>
  <c r="U46" i="4"/>
  <c r="B48" i="4"/>
  <c r="U47" i="4"/>
  <c r="W47" i="4"/>
  <c r="X47" i="4"/>
  <c r="E47" i="4"/>
  <c r="D47" i="4"/>
  <c r="F47" i="4" s="1"/>
  <c r="D57" i="24"/>
  <c r="F56" i="24"/>
  <c r="E56" i="24"/>
  <c r="H56" i="24" s="1"/>
  <c r="B58" i="16"/>
  <c r="D57" i="16"/>
  <c r="H56" i="16"/>
  <c r="G56" i="16"/>
  <c r="F56" i="16"/>
  <c r="I55" i="16"/>
  <c r="D37" i="15"/>
  <c r="C37" i="15"/>
  <c r="B38" i="15"/>
  <c r="E36" i="15"/>
  <c r="E51" i="23" l="1"/>
  <c r="F50" i="23"/>
  <c r="I50" i="23"/>
  <c r="H50" i="23"/>
  <c r="J50" i="23"/>
  <c r="E7" i="4"/>
  <c r="E48" i="4"/>
  <c r="D48" i="4"/>
  <c r="T47" i="4"/>
  <c r="J47" i="4"/>
  <c r="V47" i="4"/>
  <c r="G47" i="4"/>
  <c r="Y47" i="4"/>
  <c r="D58" i="24"/>
  <c r="F57" i="24"/>
  <c r="E57" i="24"/>
  <c r="H57" i="24" s="1"/>
  <c r="I56" i="16"/>
  <c r="H57" i="16"/>
  <c r="G57" i="16"/>
  <c r="F57" i="16"/>
  <c r="D58" i="16"/>
  <c r="B59" i="16"/>
  <c r="C38" i="15"/>
  <c r="E38" i="15" s="1"/>
  <c r="B39" i="15"/>
  <c r="D38" i="15"/>
  <c r="E37" i="15"/>
  <c r="E52" i="23" l="1"/>
  <c r="F51" i="23"/>
  <c r="I51" i="23"/>
  <c r="J51" i="23"/>
  <c r="H51" i="23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F48" i="4"/>
  <c r="D7" i="4"/>
  <c r="D59" i="24"/>
  <c r="E58" i="24"/>
  <c r="H58" i="24" s="1"/>
  <c r="F58" i="24"/>
  <c r="I57" i="16"/>
  <c r="B60" i="16"/>
  <c r="D59" i="16"/>
  <c r="H58" i="16"/>
  <c r="F58" i="16"/>
  <c r="G58" i="16"/>
  <c r="D39" i="15"/>
  <c r="C39" i="15"/>
  <c r="E39" i="15" s="1"/>
  <c r="B40" i="15"/>
  <c r="E53" i="23" l="1"/>
  <c r="F52" i="23"/>
  <c r="H52" i="23"/>
  <c r="J52" i="23"/>
  <c r="I52" i="23"/>
  <c r="J48" i="4"/>
  <c r="T48" i="4"/>
  <c r="T8" i="4" s="1"/>
  <c r="T7" i="4" s="1"/>
  <c r="X48" i="4"/>
  <c r="W48" i="4"/>
  <c r="U48" i="4"/>
  <c r="U8" i="4" s="1"/>
  <c r="Y48" i="4"/>
  <c r="Y8" i="4" s="1"/>
  <c r="V48" i="4"/>
  <c r="H48" i="4"/>
  <c r="G48" i="4"/>
  <c r="D60" i="24"/>
  <c r="E59" i="24"/>
  <c r="H59" i="24" s="1"/>
  <c r="F59" i="24"/>
  <c r="I58" i="16"/>
  <c r="H59" i="16"/>
  <c r="G59" i="16"/>
  <c r="F59" i="16"/>
  <c r="D60" i="16"/>
  <c r="B61" i="16"/>
  <c r="D40" i="15"/>
  <c r="C40" i="15"/>
  <c r="B41" i="15"/>
  <c r="E54" i="23" l="1"/>
  <c r="F53" i="23"/>
  <c r="I53" i="23"/>
  <c r="H53" i="23"/>
  <c r="J53" i="23"/>
  <c r="W8" i="4"/>
  <c r="X3" i="4"/>
  <c r="V8" i="4"/>
  <c r="V2" i="4" s="1"/>
  <c r="X2" i="4"/>
  <c r="X8" i="4"/>
  <c r="V3" i="4" s="1"/>
  <c r="X4" i="4"/>
  <c r="V4" i="4"/>
  <c r="D61" i="24"/>
  <c r="F60" i="24"/>
  <c r="E60" i="24"/>
  <c r="H60" i="24" s="1"/>
  <c r="I59" i="16"/>
  <c r="H60" i="16"/>
  <c r="G60" i="16"/>
  <c r="F60" i="16"/>
  <c r="B62" i="16"/>
  <c r="D61" i="16"/>
  <c r="C41" i="15"/>
  <c r="E41" i="15" s="1"/>
  <c r="B42" i="15"/>
  <c r="D41" i="15"/>
  <c r="E40" i="15"/>
  <c r="E55" i="23" l="1"/>
  <c r="F54" i="23"/>
  <c r="J54" i="23"/>
  <c r="H54" i="23"/>
  <c r="I54" i="23"/>
  <c r="D62" i="24"/>
  <c r="F61" i="24"/>
  <c r="E61" i="24"/>
  <c r="H61" i="24" s="1"/>
  <c r="I60" i="16"/>
  <c r="D62" i="16"/>
  <c r="B63" i="16"/>
  <c r="H61" i="16"/>
  <c r="F61" i="16"/>
  <c r="G61" i="16"/>
  <c r="D42" i="15"/>
  <c r="C42" i="15"/>
  <c r="E42" i="15" s="1"/>
  <c r="B43" i="15"/>
  <c r="E56" i="23" l="1"/>
  <c r="F55" i="23"/>
  <c r="J55" i="23"/>
  <c r="H55" i="23"/>
  <c r="I55" i="23"/>
  <c r="E62" i="24"/>
  <c r="G8" i="24" s="1"/>
  <c r="F62" i="24"/>
  <c r="I61" i="16"/>
  <c r="B64" i="16"/>
  <c r="D63" i="16"/>
  <c r="H62" i="16"/>
  <c r="G62" i="16"/>
  <c r="F62" i="16"/>
  <c r="C43" i="15"/>
  <c r="E43" i="15" s="1"/>
  <c r="B44" i="15"/>
  <c r="D43" i="15"/>
  <c r="E57" i="23" l="1"/>
  <c r="F56" i="23"/>
  <c r="I56" i="23"/>
  <c r="J56" i="23"/>
  <c r="H56" i="23"/>
  <c r="H62" i="24"/>
  <c r="G10" i="24" s="1"/>
  <c r="G62" i="24"/>
  <c r="G61" i="24"/>
  <c r="G58" i="24"/>
  <c r="G13" i="24"/>
  <c r="G12" i="24"/>
  <c r="G7" i="24" s="1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9" i="24"/>
  <c r="G60" i="24"/>
  <c r="I62" i="16"/>
  <c r="D64" i="16"/>
  <c r="B65" i="16"/>
  <c r="H63" i="16"/>
  <c r="F63" i="16"/>
  <c r="G63" i="16"/>
  <c r="D44" i="15"/>
  <c r="C44" i="15"/>
  <c r="E44" i="15" s="1"/>
  <c r="B45" i="15"/>
  <c r="E58" i="23" l="1"/>
  <c r="F57" i="23"/>
  <c r="I57" i="23"/>
  <c r="H57" i="23"/>
  <c r="J57" i="23"/>
  <c r="G9" i="24"/>
  <c r="I63" i="16"/>
  <c r="H64" i="16"/>
  <c r="G64" i="16"/>
  <c r="F64" i="16"/>
  <c r="B66" i="16"/>
  <c r="D65" i="16"/>
  <c r="D45" i="15"/>
  <c r="C45" i="15"/>
  <c r="E45" i="15" s="1"/>
  <c r="B46" i="15"/>
  <c r="E59" i="23" l="1"/>
  <c r="F58" i="23"/>
  <c r="H58" i="23"/>
  <c r="J58" i="23"/>
  <c r="I58" i="23"/>
  <c r="I64" i="16"/>
  <c r="D66" i="16"/>
  <c r="B67" i="16"/>
  <c r="H65" i="16"/>
  <c r="G65" i="16"/>
  <c r="F65" i="16"/>
  <c r="C46" i="15"/>
  <c r="B47" i="15"/>
  <c r="D46" i="15"/>
  <c r="E60" i="23" l="1"/>
  <c r="F59" i="23"/>
  <c r="I59" i="23"/>
  <c r="J59" i="23"/>
  <c r="H59" i="23"/>
  <c r="I65" i="16"/>
  <c r="B68" i="16"/>
  <c r="D67" i="16"/>
  <c r="H66" i="16"/>
  <c r="G66" i="16"/>
  <c r="F66" i="16"/>
  <c r="D47" i="15"/>
  <c r="C47" i="15"/>
  <c r="B48" i="15"/>
  <c r="E46" i="15"/>
  <c r="E61" i="23" l="1"/>
  <c r="F60" i="23"/>
  <c r="H60" i="23"/>
  <c r="J60" i="23"/>
  <c r="I60" i="23"/>
  <c r="I66" i="16"/>
  <c r="H67" i="16"/>
  <c r="G67" i="16"/>
  <c r="F67" i="16"/>
  <c r="D68" i="16"/>
  <c r="B69" i="16"/>
  <c r="D48" i="15"/>
  <c r="C48" i="15"/>
  <c r="B49" i="15"/>
  <c r="E47" i="15"/>
  <c r="E62" i="23" l="1"/>
  <c r="F61" i="23"/>
  <c r="J61" i="23"/>
  <c r="H61" i="23"/>
  <c r="I61" i="23"/>
  <c r="I67" i="16"/>
  <c r="B70" i="16"/>
  <c r="D69" i="16"/>
  <c r="H68" i="16"/>
  <c r="F68" i="16"/>
  <c r="G68" i="16"/>
  <c r="C49" i="15"/>
  <c r="E49" i="15" s="1"/>
  <c r="B50" i="15"/>
  <c r="D49" i="15"/>
  <c r="E48" i="15"/>
  <c r="H62" i="23" l="1"/>
  <c r="H10" i="23" s="1"/>
  <c r="F62" i="23"/>
  <c r="J62" i="23"/>
  <c r="J10" i="23" s="1"/>
  <c r="I62" i="23"/>
  <c r="I10" i="23" s="1"/>
  <c r="I68" i="16"/>
  <c r="H69" i="16"/>
  <c r="G69" i="16"/>
  <c r="F69" i="16"/>
  <c r="D70" i="16"/>
  <c r="B71" i="16"/>
  <c r="D50" i="15"/>
  <c r="C50" i="15"/>
  <c r="B51" i="15"/>
  <c r="I69" i="16" l="1"/>
  <c r="B72" i="16"/>
  <c r="D71" i="16"/>
  <c r="H70" i="16"/>
  <c r="F70" i="16"/>
  <c r="G70" i="16"/>
  <c r="C51" i="15"/>
  <c r="E51" i="15" s="1"/>
  <c r="B52" i="15"/>
  <c r="D51" i="15"/>
  <c r="E50" i="15"/>
  <c r="I70" i="16" l="1"/>
  <c r="H71" i="16"/>
  <c r="F71" i="16"/>
  <c r="G71" i="16"/>
  <c r="D72" i="16"/>
  <c r="B73" i="16"/>
  <c r="D52" i="15"/>
  <c r="C52" i="15"/>
  <c r="B53" i="15"/>
  <c r="I71" i="16" l="1"/>
  <c r="B74" i="16"/>
  <c r="D73" i="16"/>
  <c r="H72" i="16"/>
  <c r="F72" i="16"/>
  <c r="G72" i="16"/>
  <c r="C53" i="15"/>
  <c r="E53" i="15" s="1"/>
  <c r="B54" i="15"/>
  <c r="D53" i="15"/>
  <c r="E52" i="15"/>
  <c r="I72" i="16" l="1"/>
  <c r="H73" i="16"/>
  <c r="G73" i="16"/>
  <c r="F73" i="16"/>
  <c r="D74" i="16"/>
  <c r="B75" i="16"/>
  <c r="C54" i="15"/>
  <c r="E54" i="15" s="1"/>
  <c r="B55" i="15"/>
  <c r="D54" i="15"/>
  <c r="I73" i="16" l="1"/>
  <c r="B76" i="16"/>
  <c r="D76" i="16" s="1"/>
  <c r="D75" i="16"/>
  <c r="H74" i="16"/>
  <c r="F74" i="16"/>
  <c r="G74" i="16"/>
  <c r="D55" i="15"/>
  <c r="C55" i="15"/>
  <c r="E55" i="15" s="1"/>
  <c r="B56" i="15"/>
  <c r="I74" i="16" l="1"/>
  <c r="H75" i="16"/>
  <c r="G75" i="16"/>
  <c r="F75" i="16"/>
  <c r="H76" i="16"/>
  <c r="G76" i="16"/>
  <c r="F76" i="16"/>
  <c r="C56" i="15"/>
  <c r="D56" i="15"/>
  <c r="I75" i="16" l="1"/>
  <c r="I76" i="16"/>
  <c r="E56" i="15"/>
</calcChain>
</file>

<file path=xl/sharedStrings.xml><?xml version="1.0" encoding="utf-8"?>
<sst xmlns="http://schemas.openxmlformats.org/spreadsheetml/2006/main" count="1240" uniqueCount="739">
  <si>
    <t>Radius</t>
  </si>
  <si>
    <t>nm</t>
  </si>
  <si>
    <t>Reference Radius</t>
  </si>
  <si>
    <t>m</t>
  </si>
  <si>
    <t>SI units</t>
  </si>
  <si>
    <t>Reference Surface Area</t>
  </si>
  <si>
    <t>Surface Area</t>
  </si>
  <si>
    <t>nm²</t>
  </si>
  <si>
    <t>m²</t>
  </si>
  <si>
    <t>Reference Volume</t>
  </si>
  <si>
    <t>Volume</t>
  </si>
  <si>
    <t>Surface Area Ratio</t>
  </si>
  <si>
    <t>Volume Ratio</t>
  </si>
  <si>
    <t>Reference SA/V</t>
  </si>
  <si>
    <t>SA/V</t>
  </si>
  <si>
    <t>SA/V Ratio</t>
  </si>
  <si>
    <t>nm³</t>
  </si>
  <si>
    <t>m³</t>
  </si>
  <si>
    <t>1/m</t>
  </si>
  <si>
    <t>1/nm</t>
  </si>
  <si>
    <t>Common units</t>
  </si>
  <si>
    <t>%</t>
  </si>
  <si>
    <t>fraction</t>
  </si>
  <si>
    <t>Wt Percent solids</t>
  </si>
  <si>
    <t>Solid Density</t>
  </si>
  <si>
    <t>g/cc</t>
  </si>
  <si>
    <t>kg/m³</t>
  </si>
  <si>
    <t>Volume fraction</t>
  </si>
  <si>
    <t>Liquid Density</t>
  </si>
  <si>
    <t>Close pack fraction</t>
  </si>
  <si>
    <t>Particle Distance</t>
  </si>
  <si>
    <t>Relative Viscosity (Steric)</t>
  </si>
  <si>
    <t xml:space="preserve"> </t>
  </si>
  <si>
    <t>Interaction Distance</t>
  </si>
  <si>
    <t>Hamaker</t>
  </si>
  <si>
    <t>no units</t>
  </si>
  <si>
    <t>Relative Viscosity (including attraction)</t>
  </si>
  <si>
    <t>Vr</t>
  </si>
  <si>
    <t>X</t>
  </si>
  <si>
    <t>Va</t>
  </si>
  <si>
    <t>E</t>
  </si>
  <si>
    <t>Boltzman</t>
  </si>
  <si>
    <t>Planck</t>
  </si>
  <si>
    <t>b</t>
  </si>
  <si>
    <t>Dielectric Const</t>
  </si>
  <si>
    <t>Perm Space</t>
  </si>
  <si>
    <t>J</t>
  </si>
  <si>
    <t>Thickness of shell</t>
  </si>
  <si>
    <t>Curve 1</t>
  </si>
  <si>
    <t>Curve 2</t>
  </si>
  <si>
    <t>Height</t>
  </si>
  <si>
    <t>Sum</t>
  </si>
  <si>
    <t>Cumulative</t>
  </si>
  <si>
    <t>Number</t>
  </si>
  <si>
    <t>Mass</t>
  </si>
  <si>
    <t>Radius nm</t>
  </si>
  <si>
    <t>Low to High (1-99)</t>
  </si>
  <si>
    <t>Width (0.5-100)</t>
  </si>
  <si>
    <t>Radius of nano</t>
  </si>
  <si>
    <t>Radius of total</t>
  </si>
  <si>
    <t>Nano density</t>
  </si>
  <si>
    <t>Shell density</t>
  </si>
  <si>
    <t>% Nano Vol.</t>
  </si>
  <si>
    <t>% Nano Mass</t>
  </si>
  <si>
    <t>Wavelength</t>
  </si>
  <si>
    <t>Angle</t>
  </si>
  <si>
    <t>Radians</t>
  </si>
  <si>
    <t>Scattering Intensity</t>
  </si>
  <si>
    <t>Nano RI</t>
  </si>
  <si>
    <t>Matrix RI</t>
  </si>
  <si>
    <t>RI factor</t>
  </si>
  <si>
    <t>"Distance"</t>
  </si>
  <si>
    <t>Radius Small</t>
  </si>
  <si>
    <t>Radius Large</t>
  </si>
  <si>
    <t>% Small</t>
  </si>
  <si>
    <t>% Large</t>
  </si>
  <si>
    <t>Small</t>
  </si>
  <si>
    <t>Large</t>
  </si>
  <si>
    <t>Ratio</t>
  </si>
  <si>
    <t>Weighted</t>
  </si>
  <si>
    <t>p</t>
  </si>
  <si>
    <t>Q</t>
  </si>
  <si>
    <t>Radius From</t>
  </si>
  <si>
    <t>Radius To</t>
  </si>
  <si>
    <t>radius m</t>
  </si>
  <si>
    <t>radius nm</t>
  </si>
  <si>
    <t>Modified Wavelength</t>
  </si>
  <si>
    <t>Aspect Ratio</t>
  </si>
  <si>
    <t>Percolation Threshold</t>
  </si>
  <si>
    <t>h</t>
  </si>
  <si>
    <t>f</t>
  </si>
  <si>
    <t>g</t>
  </si>
  <si>
    <t>c</t>
  </si>
  <si>
    <t>d</t>
  </si>
  <si>
    <t>s</t>
  </si>
  <si>
    <t>Padé Constants</t>
  </si>
  <si>
    <t>Padé approximant calculation of Percolation Threshold</t>
  </si>
  <si>
    <t>L</t>
  </si>
  <si>
    <t>W</t>
  </si>
  <si>
    <t>S=0</t>
  </si>
  <si>
    <t>S=-0.5</t>
  </si>
  <si>
    <t>S=1</t>
  </si>
  <si>
    <t>AR</t>
  </si>
  <si>
    <t>AR=100</t>
  </si>
  <si>
    <t>S</t>
  </si>
  <si>
    <t>Moles/l</t>
  </si>
  <si>
    <t>Mole%</t>
  </si>
  <si>
    <t>R</t>
  </si>
  <si>
    <t>Wt Water</t>
  </si>
  <si>
    <t>m2</t>
  </si>
  <si>
    <t>V</t>
  </si>
  <si>
    <t>m3</t>
  </si>
  <si>
    <t>Volume of water</t>
  </si>
  <si>
    <t>from. 4/3 Pi r^3/ 4Pi r^2</t>
  </si>
  <si>
    <t>Diameter</t>
  </si>
  <si>
    <t>Of whole sphere</t>
  </si>
  <si>
    <t>MWt</t>
  </si>
  <si>
    <t>Wt Surfactant</t>
  </si>
  <si>
    <t>Length Surfactant</t>
  </si>
  <si>
    <t>nSurfactant</t>
  </si>
  <si>
    <t>Number of Surfactant molecules</t>
  </si>
  <si>
    <t>Radius of water + Surfactant</t>
  </si>
  <si>
    <t>Surface area of surfactant</t>
  </si>
  <si>
    <t>Radius of water core R=3V/S</t>
  </si>
  <si>
    <t>r = 1.1 +0.219*R</t>
  </si>
  <si>
    <t>r = 1.5 +0.175*R</t>
  </si>
  <si>
    <t>Surface area per Surfactant molecule</t>
  </si>
  <si>
    <t>Fit to V/S formula</t>
  </si>
  <si>
    <t>Alternative Radius</t>
  </si>
  <si>
    <t>Formula popularised by Lopez-Quintella</t>
  </si>
  <si>
    <t>R=[W]/[S]</t>
  </si>
  <si>
    <t>Total Radius</t>
  </si>
  <si>
    <t>Target</t>
  </si>
  <si>
    <t>Solvents</t>
  </si>
  <si>
    <t>MVol</t>
  </si>
  <si>
    <t>Distance</t>
  </si>
  <si>
    <t>Acetone</t>
  </si>
  <si>
    <t>Acetonitrile</t>
  </si>
  <si>
    <t>n-Amyl Acetate</t>
  </si>
  <si>
    <t>n-Amyl Alcohol</t>
  </si>
  <si>
    <t>Benzyl Alcohol</t>
  </si>
  <si>
    <t>Benzyl Benzoate</t>
  </si>
  <si>
    <t>1-Butanol</t>
  </si>
  <si>
    <t>2-Butanol</t>
  </si>
  <si>
    <t>n-Butyl Acetate</t>
  </si>
  <si>
    <t>t-Butyl Acetate</t>
  </si>
  <si>
    <t>t-Butyl Alcohol</t>
  </si>
  <si>
    <t>Butyl Benzoate</t>
  </si>
  <si>
    <t>Butyl Diglycol Acetate</t>
  </si>
  <si>
    <t>Butyl Glycol Acetate</t>
  </si>
  <si>
    <t>n-Butyl Propionate</t>
  </si>
  <si>
    <t>Caprolactone (Epsilon)</t>
  </si>
  <si>
    <t>Cyclohexane</t>
  </si>
  <si>
    <t>Cyclohexanol</t>
  </si>
  <si>
    <t>Cyclohexanone</t>
  </si>
  <si>
    <t>Di-isoButyl Ketone</t>
  </si>
  <si>
    <t>Diacetone Alcohol</t>
  </si>
  <si>
    <t>Diethylene Glycol Monobutyl Ether</t>
  </si>
  <si>
    <t>Dimethyl Cyclohexane</t>
  </si>
  <si>
    <t>Dimethyl Sulfoxide (DMSO)</t>
  </si>
  <si>
    <t>1,4-Dioxane</t>
  </si>
  <si>
    <t>1,3-Dioxolane</t>
  </si>
  <si>
    <t>Dipropylene Glycol</t>
  </si>
  <si>
    <t>Dipropylene Glycol Methyl Ether</t>
  </si>
  <si>
    <t>Dipropylene Glycol Mono n-Butyl Ether</t>
  </si>
  <si>
    <t>Ethanol</t>
  </si>
  <si>
    <t>Ethyl Acetate</t>
  </si>
  <si>
    <t>Ethyl Benzene</t>
  </si>
  <si>
    <t>Ethyl Lactate</t>
  </si>
  <si>
    <t>Ethylene Carbonate</t>
  </si>
  <si>
    <t>Ethylene Glycol</t>
  </si>
  <si>
    <t>Ethylene Glycol Monobutyl Ether</t>
  </si>
  <si>
    <t>Ethylene Glycol Monomethyl Ether</t>
  </si>
  <si>
    <t>gamma-Butyrolactone (GBL)</t>
  </si>
  <si>
    <t>Glycerol Carbonate</t>
  </si>
  <si>
    <t>Heptane</t>
  </si>
  <si>
    <t>Hexane</t>
  </si>
  <si>
    <t>Iso-Butanol</t>
  </si>
  <si>
    <t>Iso-Butyl Isobutyrate</t>
  </si>
  <si>
    <t>Iso-Pentyl Acetate</t>
  </si>
  <si>
    <t>iso-Pentyl Alcohol</t>
  </si>
  <si>
    <t>Iso-Propyl Acetate</t>
  </si>
  <si>
    <t>Isophorone</t>
  </si>
  <si>
    <t>d-Limonene</t>
  </si>
  <si>
    <t>Methanol</t>
  </si>
  <si>
    <t>Methyl Acetate</t>
  </si>
  <si>
    <t>Methyl Carbitol</t>
  </si>
  <si>
    <t>Methyl Cellosolve</t>
  </si>
  <si>
    <t>Methyl Cyclohexane</t>
  </si>
  <si>
    <t>Methyl Ethyl Ketone (MEK)</t>
  </si>
  <si>
    <t>Methyl iso-Amyl Ketone</t>
  </si>
  <si>
    <t>Methyl iso-Butyl Carbinol</t>
  </si>
  <si>
    <t>Methyl Iso-Butyl Ketone (MIBK)</t>
  </si>
  <si>
    <t>Methyl Oleate</t>
  </si>
  <si>
    <t>Methyl Propyl Ketone</t>
  </si>
  <si>
    <t>N-Methyl-2-Pyrrolidone (NMP)</t>
  </si>
  <si>
    <t>Methylene Chloride</t>
  </si>
  <si>
    <t>N,N-Dimethyl Acetamide</t>
  </si>
  <si>
    <t>N,N-Dimethyl Formamide (DMF)</t>
  </si>
  <si>
    <t>1-Nitropropane</t>
  </si>
  <si>
    <t>2-Phenoxy Ethanol</t>
  </si>
  <si>
    <t>2-Propanol</t>
  </si>
  <si>
    <t>1-Propanol</t>
  </si>
  <si>
    <t>n-Propyl Acetate</t>
  </si>
  <si>
    <t>n-Propyl Propanoate</t>
  </si>
  <si>
    <t>Propylene Carbonate</t>
  </si>
  <si>
    <t>Propylene Glycol Monobutyl Ether</t>
  </si>
  <si>
    <t>Propylene Glycol Monoethyl Ether Acetate</t>
  </si>
  <si>
    <t>Propylene Glycol Monomethyl Ether</t>
  </si>
  <si>
    <t>Propylene Glycol Monomethyl Ether Acetate</t>
  </si>
  <si>
    <t>Propylene Glycol Phenyl Ether</t>
  </si>
  <si>
    <t>sec-Butyl Acetate</t>
  </si>
  <si>
    <t>Sulfolane (Tetramethylene Sulfone)</t>
  </si>
  <si>
    <t>Tetrahydrofuran (THF)</t>
  </si>
  <si>
    <t>Tetrahydrofurfuryl Alcohol</t>
  </si>
  <si>
    <t>Toluene</t>
  </si>
  <si>
    <t>Xylene</t>
  </si>
  <si>
    <t>Score</t>
  </si>
  <si>
    <t>Benzene</t>
  </si>
  <si>
    <t>Chloroform</t>
  </si>
  <si>
    <t>Diethyl Ether</t>
  </si>
  <si>
    <t>m-Cresol</t>
  </si>
  <si>
    <t>Good</t>
  </si>
  <si>
    <t>Bad</t>
  </si>
  <si>
    <t>Total</t>
  </si>
  <si>
    <t>Iso-Propyl Ether</t>
  </si>
  <si>
    <t>dD</t>
  </si>
  <si>
    <t>dP</t>
  </si>
  <si>
    <t>dH</t>
  </si>
  <si>
    <t>Error</t>
  </si>
  <si>
    <t>Total Error</t>
  </si>
  <si>
    <t>Scaling</t>
  </si>
  <si>
    <t>Fit</t>
  </si>
  <si>
    <t>Fit %</t>
  </si>
  <si>
    <t>RED</t>
  </si>
  <si>
    <t>Wrong Out</t>
  </si>
  <si>
    <t>Wrong In</t>
  </si>
  <si>
    <t>Test Value</t>
  </si>
  <si>
    <t>Delta</t>
  </si>
  <si>
    <t>Start with a large R (say 10)</t>
  </si>
  <si>
    <t>Then decrease R, re-fit till Fit% gets worse</t>
  </si>
  <si>
    <t>Blend</t>
  </si>
  <si>
    <t>Total dD</t>
  </si>
  <si>
    <t>Total dP</t>
  </si>
  <si>
    <t>Total dH</t>
  </si>
  <si>
    <t>Partial dD</t>
  </si>
  <si>
    <t>Partial dP</t>
  </si>
  <si>
    <t>Partial dH</t>
  </si>
  <si>
    <t>mm</t>
  </si>
  <si>
    <t>Particle density</t>
  </si>
  <si>
    <t>Fluid density</t>
  </si>
  <si>
    <t>Radius 1</t>
  </si>
  <si>
    <t>Radius 2</t>
  </si>
  <si>
    <t>Viscosity</t>
  </si>
  <si>
    <t>cP</t>
  </si>
  <si>
    <t>Pas</t>
  </si>
  <si>
    <t>Velocity 1</t>
  </si>
  <si>
    <t>Velocity 2</t>
  </si>
  <si>
    <t>Time 1</t>
  </si>
  <si>
    <t>Time 2</t>
  </si>
  <si>
    <t>Time 1/2</t>
  </si>
  <si>
    <t>m/s²</t>
  </si>
  <si>
    <t>g=</t>
  </si>
  <si>
    <t>m/s</t>
  </si>
  <si>
    <t>Stokes' Law Settling Velocities and Times</t>
  </si>
  <si>
    <t>Reference Particle</t>
  </si>
  <si>
    <t>min</t>
  </si>
  <si>
    <t>days</t>
  </si>
  <si>
    <t>RPM</t>
  </si>
  <si>
    <t>Relative G-Force</t>
  </si>
  <si>
    <t>Length</t>
  </si>
  <si>
    <t>For Cantilever sample</t>
  </si>
  <si>
    <t>Divide by 8 for Bridge sample</t>
  </si>
  <si>
    <t>Thickness</t>
  </si>
  <si>
    <t>GPa</t>
  </si>
  <si>
    <t>MPa</t>
  </si>
  <si>
    <t>Density</t>
  </si>
  <si>
    <t>Modulus</t>
  </si>
  <si>
    <t>Deflection</t>
  </si>
  <si>
    <t>µm</t>
  </si>
  <si>
    <t>Blend Distance Calculator</t>
  </si>
  <si>
    <t>Copy/Paste solvent pairs</t>
  </si>
  <si>
    <t>S1</t>
  </si>
  <si>
    <t>S2</t>
  </si>
  <si>
    <t>Solvent</t>
  </si>
  <si>
    <t>% S1</t>
  </si>
  <si>
    <t>% S2</t>
  </si>
  <si>
    <t>Lower wavelength</t>
  </si>
  <si>
    <t>Higher wavelength</t>
  </si>
  <si>
    <t>Approx RI</t>
  </si>
  <si>
    <t>Number of peaks</t>
  </si>
  <si>
    <t>Calculation of thickness from interference peaks in a spectrum</t>
  </si>
  <si>
    <t>Count the number of peaks between a lower and higher wavelength</t>
  </si>
  <si>
    <t>Then enter the appropriate values</t>
  </si>
  <si>
    <t>Optical thickness</t>
  </si>
  <si>
    <t>μm</t>
  </si>
  <si>
    <t>Calculated thickness</t>
  </si>
  <si>
    <t>742nm</t>
  </si>
  <si>
    <t>Simulated spectrum with thickness 1.234μm and RI=1.500</t>
  </si>
  <si>
    <t>411nm</t>
  </si>
  <si>
    <t>London Forces using Lennard-Jones Potential</t>
  </si>
  <si>
    <t>VdWmin</t>
  </si>
  <si>
    <t>Å</t>
  </si>
  <si>
    <t>PotRep</t>
  </si>
  <si>
    <t>PotAtt</t>
  </si>
  <si>
    <t>Well</t>
  </si>
  <si>
    <t>kJ/mole</t>
  </si>
  <si>
    <t>Repulsive</t>
  </si>
  <si>
    <t>Attractive</t>
  </si>
  <si>
    <t>Result</t>
  </si>
  <si>
    <t>r</t>
  </si>
  <si>
    <t>A/r^12</t>
  </si>
  <si>
    <t>-B/r^6</t>
  </si>
  <si>
    <t>A/r^12-B/r^6</t>
  </si>
  <si>
    <t>Equations generously provided by Dr Robert Lee of Particle Sciences Inc.</t>
  </si>
  <si>
    <r>
      <t>Typical Hamakers x10</t>
    </r>
    <r>
      <rPr>
        <b/>
        <vertAlign val="superscript"/>
        <sz val="11"/>
        <color theme="1"/>
        <rFont val="Calibri"/>
        <family val="2"/>
        <scheme val="minor"/>
      </rPr>
      <t>20</t>
    </r>
    <r>
      <rPr>
        <b/>
        <sz val="11"/>
        <color theme="1"/>
        <rFont val="Calibri"/>
        <family val="2"/>
        <scheme val="minor"/>
      </rPr>
      <t>J</t>
    </r>
  </si>
  <si>
    <t>Dielectric Constant</t>
  </si>
  <si>
    <t>Molar Volume</t>
  </si>
  <si>
    <t>Ionic Strength</t>
  </si>
  <si>
    <t>Material</t>
  </si>
  <si>
    <t>In Vacuum</t>
  </si>
  <si>
    <t>In Water</t>
  </si>
  <si>
    <t>Acetic Acid</t>
  </si>
  <si>
    <t>6.15</t>
  </si>
  <si>
    <t>Pentane</t>
  </si>
  <si>
    <t>20.7</t>
  </si>
  <si>
    <t>Decane</t>
  </si>
  <si>
    <t>37.5</t>
  </si>
  <si>
    <t>Molar Concentration</t>
  </si>
  <si>
    <t>mole/l</t>
  </si>
  <si>
    <t>mole/m3</t>
  </si>
  <si>
    <t>Hexadecane</t>
  </si>
  <si>
    <t>Anisole</t>
  </si>
  <si>
    <t>4.33</t>
  </si>
  <si>
    <t>Z1</t>
  </si>
  <si>
    <t>I</t>
  </si>
  <si>
    <t>mole/m³</t>
  </si>
  <si>
    <t>See table for values for given solvents</t>
  </si>
  <si>
    <t>Water</t>
  </si>
  <si>
    <t>-</t>
  </si>
  <si>
    <t>2.27</t>
  </si>
  <si>
    <t>Z2</t>
  </si>
  <si>
    <t>cc/mole</t>
  </si>
  <si>
    <t>m³/mole</t>
  </si>
  <si>
    <t>Quartz (Fused)</t>
  </si>
  <si>
    <t>Bromobenzene</t>
  </si>
  <si>
    <t>5.17</t>
  </si>
  <si>
    <t>ε</t>
  </si>
  <si>
    <t>Quartz (Crystalline)</t>
  </si>
  <si>
    <t>Carbon Disulfide</t>
  </si>
  <si>
    <t>2.6</t>
  </si>
  <si>
    <t>Calcite</t>
  </si>
  <si>
    <t>Carbon Tetrachloride</t>
  </si>
  <si>
    <t>2.24</t>
  </si>
  <si>
    <t>Debye Length</t>
  </si>
  <si>
    <t>Permittivity of free space</t>
  </si>
  <si>
    <r>
      <t>e</t>
    </r>
    <r>
      <rPr>
        <vertAlign val="subscript"/>
        <sz val="11"/>
        <color theme="1"/>
        <rFont val="Calibri"/>
        <family val="2"/>
        <scheme val="minor"/>
      </rPr>
      <t>0</t>
    </r>
  </si>
  <si>
    <t>F/m</t>
  </si>
  <si>
    <t>Calcium Fluoride</t>
  </si>
  <si>
    <t>Chlorobenzene</t>
  </si>
  <si>
    <t>5.62</t>
  </si>
  <si>
    <t>electron charge</t>
  </si>
  <si>
    <t>e</t>
  </si>
  <si>
    <t>Coulomb</t>
  </si>
  <si>
    <t>Sapphire</t>
  </si>
  <si>
    <t>4.81</t>
  </si>
  <si>
    <t>Boltzmann</t>
  </si>
  <si>
    <r>
      <t>k</t>
    </r>
    <r>
      <rPr>
        <vertAlign val="subscript"/>
        <sz val="11"/>
        <color theme="1"/>
        <rFont val="Calibri"/>
        <family val="2"/>
        <scheme val="minor"/>
      </rPr>
      <t>B</t>
    </r>
  </si>
  <si>
    <t>J/k</t>
  </si>
  <si>
    <t>Poly(Methyl Methacrylate)</t>
  </si>
  <si>
    <t>2.02</t>
  </si>
  <si>
    <t>Τ</t>
  </si>
  <si>
    <t>°C</t>
  </si>
  <si>
    <t>°K</t>
  </si>
  <si>
    <t>Avogadro's Number</t>
  </si>
  <si>
    <r>
      <t>N</t>
    </r>
    <r>
      <rPr>
        <vertAlign val="subscript"/>
        <sz val="11"/>
        <color theme="1"/>
        <rFont val="Calibri"/>
        <family val="2"/>
        <scheme val="minor"/>
      </rPr>
      <t>A</t>
    </r>
  </si>
  <si>
    <t>/mole</t>
  </si>
  <si>
    <t>Poly(Vinyl Chloride)</t>
  </si>
  <si>
    <t>10.9</t>
  </si>
  <si>
    <t>Polyisoprene</t>
  </si>
  <si>
    <t>Dibutyl ether</t>
  </si>
  <si>
    <t>3.1</t>
  </si>
  <si>
    <t>Potential  φ</t>
  </si>
  <si>
    <t>mV</t>
  </si>
  <si>
    <t>Poly(tetrafluoroethylene)</t>
  </si>
  <si>
    <t>o-Dichlorobenzene</t>
  </si>
  <si>
    <t>9.93</t>
  </si>
  <si>
    <t>Radius  r</t>
  </si>
  <si>
    <t>1,2-Dichloroethane</t>
  </si>
  <si>
    <t>10.36</t>
  </si>
  <si>
    <r>
      <t>Hamaker A</t>
    </r>
    <r>
      <rPr>
        <b/>
        <vertAlign val="subscript"/>
        <sz val="11"/>
        <color theme="1"/>
        <rFont val="Calibri"/>
        <family val="2"/>
        <scheme val="minor"/>
      </rPr>
      <t>12</t>
    </r>
  </si>
  <si>
    <r>
      <t>*10</t>
    </r>
    <r>
      <rPr>
        <vertAlign val="superscript"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>J</t>
    </r>
  </si>
  <si>
    <t>Dichloromethane</t>
  </si>
  <si>
    <t>8.93</t>
  </si>
  <si>
    <t>Flory-Huggins χ</t>
  </si>
  <si>
    <t>Diethylamine</t>
  </si>
  <si>
    <t>3.6</t>
  </si>
  <si>
    <t>Density ρ</t>
  </si>
  <si>
    <t>Diethyl ether</t>
  </si>
  <si>
    <t>Layer thickness δ</t>
  </si>
  <si>
    <t>1,2-Dimethoxyethane</t>
  </si>
  <si>
    <t>7.2</t>
  </si>
  <si>
    <t>Absorbed wt. Γ</t>
  </si>
  <si>
    <t>mg/m²</t>
  </si>
  <si>
    <t>kg/m²</t>
  </si>
  <si>
    <t>N,N-Dimethylacetamide</t>
  </si>
  <si>
    <t>37.8</t>
  </si>
  <si>
    <t>N,N-Dimethylformamide</t>
  </si>
  <si>
    <t>36.7</t>
  </si>
  <si>
    <t>Dimethyl Sulfoxide</t>
  </si>
  <si>
    <t>46.7</t>
  </si>
  <si>
    <t>Scale Distance</t>
  </si>
  <si>
    <r>
      <t>In units of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T</t>
    </r>
  </si>
  <si>
    <t>2.25</t>
  </si>
  <si>
    <t>Coulombic</t>
  </si>
  <si>
    <t>Dispersion</t>
  </si>
  <si>
    <t>Steric</t>
  </si>
  <si>
    <t>24.5</t>
  </si>
  <si>
    <t>h nm</t>
  </si>
  <si>
    <t>h m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</si>
  <si>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</si>
  <si>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H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</si>
  <si>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</si>
  <si>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</si>
  <si>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6.02</t>
  </si>
  <si>
    <t>Ethyl Benzoate</t>
  </si>
  <si>
    <t>Formamide</t>
  </si>
  <si>
    <t>111</t>
  </si>
  <si>
    <t>32.7</t>
  </si>
  <si>
    <t>Nitrobenzene</t>
  </si>
  <si>
    <t>34.82</t>
  </si>
  <si>
    <t>Nitromethane</t>
  </si>
  <si>
    <t>35.87</t>
  </si>
  <si>
    <t>17.9</t>
  </si>
  <si>
    <t>Pyridine</t>
  </si>
  <si>
    <t>12.4</t>
  </si>
  <si>
    <t>Tetrahydrofuran</t>
  </si>
  <si>
    <t>7.58</t>
  </si>
  <si>
    <t>2.38</t>
  </si>
  <si>
    <t>Trichloroethylene</t>
  </si>
  <si>
    <t>3.4</t>
  </si>
  <si>
    <t>Triethylamine</t>
  </si>
  <si>
    <t>2.42</t>
  </si>
  <si>
    <t>80.1</t>
  </si>
  <si>
    <t>2.57</t>
  </si>
  <si>
    <t>Refractive index (nD) calculator for nanoparticle formulations using the volume fraction model</t>
  </si>
  <si>
    <t>Item</t>
  </si>
  <si>
    <t>Weight</t>
  </si>
  <si>
    <t>Weight %</t>
  </si>
  <si>
    <t>Density %</t>
  </si>
  <si>
    <t>ρ fraction</t>
  </si>
  <si>
    <t>Nanoparticle 1</t>
  </si>
  <si>
    <t>Nanoparticle 2</t>
  </si>
  <si>
    <t>Resin 1</t>
  </si>
  <si>
    <t>Resin 2</t>
  </si>
  <si>
    <t>Resin 3</t>
  </si>
  <si>
    <t>Resin 4</t>
  </si>
  <si>
    <t>Nanoparticle</t>
  </si>
  <si>
    <t>Resin</t>
  </si>
  <si>
    <t>Silicon dioxide</t>
  </si>
  <si>
    <t>Aluminium oxide</t>
  </si>
  <si>
    <t>Zinc Oxide</t>
  </si>
  <si>
    <t>Titanium dioxide</t>
  </si>
  <si>
    <t>Anatase</t>
  </si>
  <si>
    <t>Brookite</t>
  </si>
  <si>
    <t>Rutile</t>
  </si>
  <si>
    <t>Cerium oxide</t>
  </si>
  <si>
    <t>Iron oxide</t>
  </si>
  <si>
    <t>Tin oxide</t>
  </si>
  <si>
    <t>Bismuth oxide</t>
  </si>
  <si>
    <t>Indium Tin Oxide</t>
  </si>
  <si>
    <t>Refractive index (nD) calculator for nanoparticle formulations using the Lorentz-Lorenz model</t>
  </si>
  <si>
    <t>(n*n)-1</t>
  </si>
  <si>
    <t>(n*n)+2</t>
  </si>
  <si>
    <t>I/J</t>
  </si>
  <si>
    <t>(I/J)*h</t>
  </si>
  <si>
    <t>(2m12)+1</t>
  </si>
  <si>
    <t>1-m12</t>
  </si>
  <si>
    <t>ρ fraction * RI</t>
  </si>
  <si>
    <t>RI</t>
  </si>
  <si>
    <t>RI#</t>
  </si>
  <si>
    <t>Sqrt[((2m12)+1) / (1-m12)]</t>
  </si>
  <si>
    <t>Intermediate results</t>
  </si>
  <si>
    <t>Ostwald-Freundlich</t>
  </si>
  <si>
    <t>Ostwald Ripening</t>
  </si>
  <si>
    <t>&lt;Rt&gt;³-&lt;R0&gt;³ = 8γDcVt/(9RT)</t>
  </si>
  <si>
    <t>J/mole/K</t>
  </si>
  <si>
    <t>Time Step Hours</t>
  </si>
  <si>
    <t>γ</t>
  </si>
  <si>
    <t>J/m²</t>
  </si>
  <si>
    <t>t</t>
  </si>
  <si>
    <t>Rt</t>
  </si>
  <si>
    <t>D</t>
  </si>
  <si>
    <t>cm²/s</t>
  </si>
  <si>
    <t>m²/s</t>
  </si>
  <si>
    <t>mole fraction</t>
  </si>
  <si>
    <t>T</t>
  </si>
  <si>
    <t>C</t>
  </si>
  <si>
    <t>R0</t>
  </si>
  <si>
    <r>
      <t>ln(S/S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) = 2(γ/r)(V</t>
    </r>
    <r>
      <rPr>
        <b/>
        <vertAlign val="subscript"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>/RT)</t>
    </r>
  </si>
  <si>
    <r>
      <t>V</t>
    </r>
    <r>
      <rPr>
        <vertAlign val="subscript"/>
        <sz val="11"/>
        <color theme="1"/>
        <rFont val="Calibri"/>
        <family val="2"/>
        <scheme val="minor"/>
      </rPr>
      <t>m</t>
    </r>
  </si>
  <si>
    <r>
      <t>S</t>
    </r>
    <r>
      <rPr>
        <vertAlign val="subscript"/>
        <sz val="11"/>
        <color theme="1"/>
        <rFont val="Calibri"/>
        <family val="2"/>
        <scheme val="minor"/>
      </rPr>
      <t>0</t>
    </r>
  </si>
  <si>
    <r>
      <t>ln(S/S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</si>
  <si>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S/S</t>
    </r>
    <r>
      <rPr>
        <vertAlign val="subscript"/>
        <sz val="11"/>
        <color theme="1"/>
        <rFont val="Calibri"/>
        <family val="2"/>
        <scheme val="minor"/>
      </rPr>
      <t>0</t>
    </r>
  </si>
  <si>
    <t>Temperature</t>
  </si>
  <si>
    <t>RT</t>
  </si>
  <si>
    <t>Chi parameter</t>
  </si>
  <si>
    <t>Pa.s</t>
  </si>
  <si>
    <t>Surface Tension</t>
  </si>
  <si>
    <t>N/m</t>
  </si>
  <si>
    <t>Levelling time</t>
  </si>
  <si>
    <t>Levelling Time to 1/e</t>
  </si>
  <si>
    <t>Hole diameter</t>
  </si>
  <si>
    <t>Contact angle</t>
  </si>
  <si>
    <t>deg</t>
  </si>
  <si>
    <t>radians</t>
  </si>
  <si>
    <t>h/d</t>
  </si>
  <si>
    <t>2(1-cosθ)</t>
  </si>
  <si>
    <t>Pinhole</t>
  </si>
  <si>
    <t>Holes will self-heal if:</t>
  </si>
  <si>
    <t>Pinhole formation</t>
  </si>
  <si>
    <t>Gravity</t>
  </si>
  <si>
    <t>Inputs</t>
  </si>
  <si>
    <t>Speed</t>
  </si>
  <si>
    <t>m/min</t>
  </si>
  <si>
    <t>SurfTen</t>
  </si>
  <si>
    <t>kg/m^3</t>
  </si>
  <si>
    <t>um</t>
  </si>
  <si>
    <t>Outputs</t>
  </si>
  <si>
    <t>Capillary number</t>
  </si>
  <si>
    <t>A dimensionless constant showing relative inertial and capillary forces.</t>
  </si>
  <si>
    <t>Wet coating thickness</t>
  </si>
  <si>
    <t>Critical Rayleigh</t>
  </si>
  <si>
    <t>Distance between beads spontaneously formed via the Rayleigh instability</t>
  </si>
  <si>
    <t>Critical Thickness</t>
  </si>
  <si>
    <t>Thickness below which no Rayleigh instability can happen</t>
  </si>
  <si>
    <t>Timescale</t>
  </si>
  <si>
    <t>Timescale for the Rayleigh instabilty to occur</t>
  </si>
  <si>
    <t>Equilibrium</t>
  </si>
  <si>
    <t>A natural equilibrium coating thickness for a liquid around a fibre</t>
  </si>
  <si>
    <r>
      <t>m/s</t>
    </r>
    <r>
      <rPr>
        <vertAlign val="superscript"/>
        <sz val="11"/>
        <color theme="1"/>
        <rFont val="Calibri"/>
        <family val="2"/>
        <scheme val="minor"/>
      </rPr>
      <t>2</t>
    </r>
  </si>
  <si>
    <t>Failure Value</t>
  </si>
  <si>
    <t>Ln(k) = ln(A) – Ea/(RT) + B(%RH)</t>
  </si>
  <si>
    <t>&lt;----</t>
  </si>
  <si>
    <t>Value you define as "failure"</t>
  </si>
  <si>
    <t>Quick Calculator</t>
  </si>
  <si>
    <t>Gas Constant</t>
  </si>
  <si>
    <t>%RH</t>
  </si>
  <si>
    <t>Time Series</t>
  </si>
  <si>
    <t>lnA</t>
  </si>
  <si>
    <t>Ea kJ/mole</t>
  </si>
  <si>
    <t>B</t>
  </si>
  <si>
    <t>Days</t>
  </si>
  <si>
    <t>In period</t>
  </si>
  <si>
    <t>Total Days</t>
  </si>
  <si>
    <t>Change</t>
  </si>
  <si>
    <t>per day</t>
  </si>
  <si>
    <t>to Failure</t>
  </si>
  <si>
    <t>Predicted</t>
  </si>
  <si>
    <t>ln(k)</t>
  </si>
  <si>
    <t>&lt;-----</t>
  </si>
  <si>
    <t>Use Excel Solver to minimise</t>
  </si>
  <si>
    <t>Days = time to reach your</t>
  </si>
  <si>
    <t>by varying lnA, Ea and B</t>
  </si>
  <si>
    <t>at the given T and %RH</t>
  </si>
  <si>
    <t>Optional space for more values</t>
  </si>
  <si>
    <t>Leave blank (or 0) otherwise</t>
  </si>
  <si>
    <t>φ</t>
  </si>
  <si>
    <t>AR=1</t>
  </si>
  <si>
    <t>AR=25</t>
  </si>
  <si>
    <t>Start Radius</t>
  </si>
  <si>
    <t>Radius Increment</t>
  </si>
  <si>
    <t>Sum Offset</t>
  </si>
  <si>
    <t>Offset</t>
  </si>
  <si>
    <t>P1</t>
  </si>
  <si>
    <t>P2</t>
  </si>
  <si>
    <t>Graph</t>
  </si>
  <si>
    <t>Diffusion coefficient from Stokes-Einstein</t>
  </si>
  <si>
    <t>Boltz</t>
  </si>
  <si>
    <r>
      <t>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 kg s</t>
    </r>
    <r>
      <rPr>
        <vertAlign val="superscript"/>
        <sz val="10"/>
        <color rgb="FF000000"/>
        <rFont val="Arial"/>
        <family val="2"/>
      </rPr>
      <t>-2</t>
    </r>
    <r>
      <rPr>
        <sz val="10"/>
        <color rgb="FF000000"/>
        <rFont val="Arial"/>
        <family val="2"/>
      </rPr>
      <t> K</t>
    </r>
    <r>
      <rPr>
        <vertAlign val="superscript"/>
        <sz val="10"/>
        <color rgb="FF000000"/>
        <rFont val="Arial"/>
        <family val="2"/>
      </rPr>
      <t>-1</t>
    </r>
  </si>
  <si>
    <t>T °C</t>
  </si>
  <si>
    <t>K</t>
  </si>
  <si>
    <r>
      <t>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>/s</t>
    </r>
  </si>
  <si>
    <r>
      <t>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>/s</t>
    </r>
  </si>
  <si>
    <t>S-E Factor (6 or 4)</t>
  </si>
  <si>
    <t>Distance travelled in Time 1</t>
  </si>
  <si>
    <t>Distance travelled in Time 2</t>
  </si>
  <si>
    <t>Diffusion Coef 1</t>
  </si>
  <si>
    <t>Diffusion Coef 2</t>
  </si>
  <si>
    <t>Ratio of Distance in Time 1</t>
  </si>
  <si>
    <t>Ratio of Distance in Time 2</t>
  </si>
  <si>
    <t>Units</t>
  </si>
  <si>
    <t>hours</t>
  </si>
  <si>
    <t>a</t>
  </si>
  <si>
    <t>Velocity</t>
  </si>
  <si>
    <t>K'</t>
  </si>
  <si>
    <t>β</t>
  </si>
  <si>
    <t>Volume*ρ*g</t>
  </si>
  <si>
    <t>F</t>
  </si>
  <si>
    <t>Equivalent Radius</t>
  </si>
  <si>
    <t>Prolate Spheroid a&lt;b</t>
  </si>
  <si>
    <t>Starting size</t>
  </si>
  <si>
    <t>Ending size</t>
  </si>
  <si>
    <t>Rittinger</t>
  </si>
  <si>
    <t>x</t>
  </si>
  <si>
    <t>y</t>
  </si>
  <si>
    <t>K&amp;K</t>
  </si>
  <si>
    <t>Bond</t>
  </si>
  <si>
    <r>
      <t>C</t>
    </r>
    <r>
      <rPr>
        <vertAlign val="subscript"/>
        <sz val="11"/>
        <color theme="1"/>
        <rFont val="Calibri"/>
        <family val="2"/>
        <scheme val="minor"/>
      </rPr>
      <t>B</t>
    </r>
  </si>
  <si>
    <r>
      <t>C</t>
    </r>
    <r>
      <rPr>
        <vertAlign val="subscript"/>
        <sz val="11"/>
        <color theme="1"/>
        <rFont val="Calibri"/>
        <family val="2"/>
        <scheme val="minor"/>
      </rPr>
      <t>K</t>
    </r>
  </si>
  <si>
    <r>
      <t>C</t>
    </r>
    <r>
      <rPr>
        <vertAlign val="subscript"/>
        <sz val="11"/>
        <color theme="1"/>
        <rFont val="Calibri"/>
        <family val="2"/>
        <scheme val="minor"/>
      </rPr>
      <t>R</t>
    </r>
  </si>
  <si>
    <t>kJ/kg</t>
  </si>
  <si>
    <t>kg</t>
  </si>
  <si>
    <t>mass</t>
  </si>
  <si>
    <t>kJ</t>
  </si>
  <si>
    <t>&lt;50μm</t>
  </si>
  <si>
    <t>50μm-50mm</t>
  </si>
  <si>
    <t>&gt;50mm</t>
  </si>
  <si>
    <t>xystep</t>
  </si>
  <si>
    <t>Hukki R</t>
  </si>
  <si>
    <t>n</t>
  </si>
  <si>
    <t>kj/kg</t>
  </si>
  <si>
    <t>Bond R</t>
  </si>
  <si>
    <t>K&amp;K R</t>
  </si>
  <si>
    <t>Grinding Energy Calculations</t>
  </si>
  <si>
    <t>Ritter</t>
  </si>
  <si>
    <t>Hukki</t>
  </si>
  <si>
    <t>Velocity of hole</t>
  </si>
  <si>
    <t>Time to move by Diameter/2</t>
  </si>
  <si>
    <t>kT</t>
  </si>
  <si>
    <t>kT/Gravity</t>
  </si>
  <si>
    <t>Brownian v Gravity for Radius 1</t>
  </si>
  <si>
    <t>Concentration gradient argument</t>
  </si>
  <si>
    <t>1/e fall-off mm</t>
  </si>
  <si>
    <t>Stokes equivalent radius</t>
  </si>
  <si>
    <t>Volumetric equivalent radius</t>
  </si>
  <si>
    <t>Volume Fraction</t>
  </si>
  <si>
    <t>(1-φ)^5 correction</t>
  </si>
  <si>
    <t>r nm</t>
  </si>
  <si>
    <t>% at surface</t>
  </si>
  <si>
    <t>Atom or molecule radius</t>
  </si>
  <si>
    <t>Largest radius</t>
  </si>
  <si>
    <t>Corrected</t>
  </si>
  <si>
    <t>Surface/Volume ratio</t>
  </si>
  <si>
    <t>Polystyrene</t>
  </si>
  <si>
    <t>Alumina</t>
  </si>
  <si>
    <t>MgO</t>
  </si>
  <si>
    <t>Mica</t>
  </si>
  <si>
    <t>TiO2</t>
  </si>
  <si>
    <t>Pa</t>
  </si>
  <si>
    <t>Hardness</t>
  </si>
  <si>
    <t>PMax</t>
  </si>
  <si>
    <t>mN</t>
  </si>
  <si>
    <t>Km</t>
  </si>
  <si>
    <t>Kmunload</t>
  </si>
  <si>
    <t>P mN</t>
  </si>
  <si>
    <t>Unload</t>
  </si>
  <si>
    <t>Elastic Recovery</t>
  </si>
  <si>
    <t>Nanoindentation</t>
  </si>
  <si>
    <t>δ Load nm</t>
  </si>
  <si>
    <t>δ Unload nm</t>
  </si>
  <si>
    <t>Plastic Depth</t>
  </si>
  <si>
    <t>Indenter</t>
  </si>
  <si>
    <t>Poisson</t>
  </si>
  <si>
    <t>(Diamond)</t>
  </si>
  <si>
    <r>
      <t>Contact area nm</t>
    </r>
    <r>
      <rPr>
        <vertAlign val="superscript"/>
        <sz val="11"/>
        <color theme="1"/>
        <rFont val="Calibri"/>
        <family val="2"/>
        <scheme val="minor"/>
      </rPr>
      <t>2</t>
    </r>
  </si>
  <si>
    <t>AreaF2</t>
  </si>
  <si>
    <t>AreaF1</t>
  </si>
  <si>
    <t>Hardness from P/A</t>
  </si>
  <si>
    <t>Maximum Depth</t>
  </si>
  <si>
    <r>
      <t>Modulus</t>
    </r>
    <r>
      <rPr>
        <vertAlign val="subscript"/>
        <sz val="11"/>
        <color theme="1"/>
        <rFont val="Calibri"/>
        <family val="2"/>
        <scheme val="minor"/>
      </rPr>
      <t>r</t>
    </r>
  </si>
  <si>
    <r>
      <t>Modulus</t>
    </r>
    <r>
      <rPr>
        <b/>
        <vertAlign val="subscript"/>
        <sz val="11"/>
        <color theme="1"/>
        <rFont val="Calibri"/>
        <family val="2"/>
        <scheme val="minor"/>
      </rPr>
      <t>s</t>
    </r>
  </si>
  <si>
    <r>
      <t>Modulus</t>
    </r>
    <r>
      <rPr>
        <vertAlign val="subscript"/>
        <sz val="11"/>
        <color theme="1"/>
        <rFont val="Calibri"/>
        <family val="2"/>
        <scheme val="minor"/>
      </rPr>
      <t>i</t>
    </r>
  </si>
  <si>
    <t>Examples from Hainsworth</t>
  </si>
  <si>
    <t>Steel</t>
  </si>
  <si>
    <t>Silicon</t>
  </si>
  <si>
    <t>Iron</t>
  </si>
  <si>
    <t>Phosphor Bronze</t>
  </si>
  <si>
    <t>Copper</t>
  </si>
  <si>
    <t>Hardness GPa</t>
  </si>
  <si>
    <t>Modulus GPa</t>
  </si>
  <si>
    <t>Original thickness</t>
  </si>
  <si>
    <t>Final thickness</t>
  </si>
  <si>
    <t>Force</t>
  </si>
  <si>
    <t>N</t>
  </si>
  <si>
    <t>divStep</t>
  </si>
  <si>
    <t>Contact width</t>
  </si>
  <si>
    <t>Time needed</t>
  </si>
  <si>
    <t>Time available</t>
  </si>
  <si>
    <t>Equivalent "Radius")</t>
  </si>
  <si>
    <t>% Flat</t>
  </si>
  <si>
    <t>To insert into Radius</t>
  </si>
  <si>
    <t>Stefan Equation for UV embossing</t>
  </si>
  <si>
    <t>Residue nm</t>
  </si>
  <si>
    <t>t s</t>
  </si>
  <si>
    <t>dyne/cm</t>
  </si>
  <si>
    <t>D0</t>
  </si>
  <si>
    <t>D1</t>
  </si>
  <si>
    <t>D2</t>
  </si>
  <si>
    <t>D3</t>
  </si>
  <si>
    <t>D4</t>
  </si>
  <si>
    <t>D[1,0]</t>
  </si>
  <si>
    <t>D[3,2]</t>
  </si>
  <si>
    <t>D[4,3]</t>
  </si>
  <si>
    <t>D50</t>
  </si>
  <si>
    <t>Median Vol</t>
  </si>
  <si>
    <t>Median Area</t>
  </si>
  <si>
    <t>Median Number</t>
  </si>
  <si>
    <t>Area</t>
  </si>
  <si>
    <t>Schilde Equation</t>
  </si>
  <si>
    <t>x0</t>
  </si>
  <si>
    <t>xend</t>
  </si>
  <si>
    <t>Dissolver</t>
  </si>
  <si>
    <t>Kneader</t>
  </si>
  <si>
    <t>Stirred media mill</t>
  </si>
  <si>
    <t>3-roll mill</t>
  </si>
  <si>
    <t>Size nm</t>
  </si>
  <si>
    <t>Measurement of Modulus from Bending</t>
  </si>
  <si>
    <t>Calculations of Surface Area and Volume</t>
  </si>
  <si>
    <t>Shell % Calculations</t>
  </si>
  <si>
    <t>Interparticle Distance calculations</t>
  </si>
  <si>
    <t>Size Distributions</t>
  </si>
  <si>
    <t>Rayleigh Scattering</t>
  </si>
  <si>
    <t>Mie Scattering</t>
  </si>
  <si>
    <t>Percolation Theory</t>
  </si>
  <si>
    <t>Clay Barriers</t>
  </si>
  <si>
    <t>Microemulsion Calculations</t>
  </si>
  <si>
    <t>HSP Sphere</t>
  </si>
  <si>
    <t>HSP Solvent Blends</t>
  </si>
  <si>
    <t>DLVO Theory</t>
  </si>
  <si>
    <t>Grinding Times</t>
  </si>
  <si>
    <t>ASAP - Accelerated Stability Assessment Program</t>
  </si>
  <si>
    <t>Nanocoatings: Principles and Practice</t>
  </si>
  <si>
    <t>Steven Abbott and Nigel Holmes</t>
  </si>
  <si>
    <t>DesTech Publications 2013</t>
  </si>
  <si>
    <t>These workbooks accompany the book</t>
  </si>
  <si>
    <t>If you find bugs/issues or would like extra functionality, please email Steven Abbott</t>
  </si>
  <si>
    <t>steven@stevenabbott.co.uk</t>
  </si>
  <si>
    <t>They are Copyright © 2013 Prof Steven Abbott and Dr Nigel Holmes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</si>
</sst>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Times New Roman"/>
      <family val="1"/>
    </font>
    <font>
      <vertAlign val="superscript"/>
      <sz val="10"/>
      <color rgb="FF000000"/>
      <name val="Arial"/>
      <family val="2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11" fontId="0" fillId="0" borderId="0" xfId="0" applyNumberFormat="1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0" fontId="2" fillId="0" borderId="0" xfId="0" applyFont="1"/>
    <xf numFmtId="0" fontId="3" fillId="0" borderId="0" xfId="0" applyFont="1"/>
    <xf numFmtId="165" fontId="0" fillId="0" borderId="0" xfId="1" applyNumberFormat="1" applyFont="1"/>
    <xf numFmtId="0" fontId="0" fillId="0" borderId="0" xfId="0" applyAlignment="1">
      <alignment horizontal="right"/>
    </xf>
    <xf numFmtId="11" fontId="0" fillId="2" borderId="0" xfId="0" applyNumberFormat="1" applyFill="1"/>
    <xf numFmtId="164" fontId="0" fillId="2" borderId="0" xfId="0" applyNumberFormat="1" applyFill="1"/>
    <xf numFmtId="0" fontId="4" fillId="0" borderId="0" xfId="0" applyFont="1"/>
    <xf numFmtId="0" fontId="5" fillId="0" borderId="0" xfId="0" applyFont="1"/>
    <xf numFmtId="1" fontId="0" fillId="0" borderId="0" xfId="0" applyNumberFormat="1"/>
    <xf numFmtId="166" fontId="0" fillId="0" borderId="0" xfId="0" applyNumberFormat="1"/>
    <xf numFmtId="0" fontId="0" fillId="0" borderId="0" xfId="0" quotePrefix="1"/>
    <xf numFmtId="49" fontId="0" fillId="0" borderId="0" xfId="0" applyNumberFormat="1"/>
    <xf numFmtId="11" fontId="2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6" fontId="0" fillId="0" borderId="7" xfId="0" applyNumberFormat="1" applyBorder="1"/>
    <xf numFmtId="166" fontId="0" fillId="0" borderId="9" xfId="0" applyNumberFormat="1" applyBorder="1"/>
    <xf numFmtId="166" fontId="0" fillId="0" borderId="9" xfId="0" applyNumberFormat="1" applyFill="1" applyBorder="1"/>
    <xf numFmtId="166" fontId="0" fillId="0" borderId="12" xfId="0" applyNumberFormat="1" applyBorder="1"/>
    <xf numFmtId="166" fontId="0" fillId="0" borderId="10" xfId="0" applyNumberFormat="1" applyBorder="1"/>
    <xf numFmtId="0" fontId="0" fillId="2" borderId="0" xfId="0" applyNumberFormat="1" applyFill="1"/>
    <xf numFmtId="0" fontId="12" fillId="0" borderId="0" xfId="0" applyFont="1"/>
    <xf numFmtId="167" fontId="0" fillId="0" borderId="0" xfId="0" applyNumberFormat="1"/>
    <xf numFmtId="0" fontId="11" fillId="2" borderId="0" xfId="2" applyFill="1"/>
    <xf numFmtId="0" fontId="0" fillId="4" borderId="0" xfId="0" applyFill="1"/>
    <xf numFmtId="11" fontId="5" fillId="0" borderId="0" xfId="0" applyNumberFormat="1" applyFont="1"/>
    <xf numFmtId="2" fontId="5" fillId="0" borderId="0" xfId="0" applyNumberFormat="1" applyFont="1"/>
    <xf numFmtId="165" fontId="5" fillId="0" borderId="0" xfId="1" applyNumberFormat="1" applyFont="1"/>
    <xf numFmtId="1" fontId="5" fillId="0" borderId="0" xfId="0" applyNumberFormat="1" applyFont="1"/>
    <xf numFmtId="0" fontId="0" fillId="0" borderId="0" xfId="0" applyFont="1"/>
    <xf numFmtId="0" fontId="15" fillId="0" borderId="0" xfId="3"/>
  </cellXfs>
  <cellStyles count="4">
    <cellStyle name="Good" xfId="2" builtinId="26"/>
    <cellStyle name="Hyperlink" xfId="3" builtinId="8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At Particle Surface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'Surface Area and Volume'!$K$6:$K$19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  <c:pt idx="11">
                  <c:v>75</c:v>
                </c:pt>
                <c:pt idx="12">
                  <c:v>100</c:v>
                </c:pt>
                <c:pt idx="13">
                  <c:v>200</c:v>
                </c:pt>
              </c:numCache>
            </c:numRef>
          </c:xVal>
          <c:yVal>
            <c:numRef>
              <c:f>'Surface Area and Volume'!$L$6:$L$19</c:f>
              <c:numCache>
                <c:formatCode>0.0%</c:formatCode>
                <c:ptCount val="14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6.6666666666666666E-2</c:v>
                </c:pt>
                <c:pt idx="4">
                  <c:v>0.05</c:v>
                </c:pt>
                <c:pt idx="5">
                  <c:v>0.04</c:v>
                </c:pt>
                <c:pt idx="6">
                  <c:v>2.6666666666666668E-2</c:v>
                </c:pt>
                <c:pt idx="7">
                  <c:v>0.02</c:v>
                </c:pt>
                <c:pt idx="8">
                  <c:v>1.3333333333333334E-2</c:v>
                </c:pt>
                <c:pt idx="9">
                  <c:v>0.01</c:v>
                </c:pt>
                <c:pt idx="10">
                  <c:v>8.0000000000000002E-3</c:v>
                </c:pt>
                <c:pt idx="11">
                  <c:v>5.333333333333334E-3</c:v>
                </c:pt>
                <c:pt idx="12">
                  <c:v>4.0000000000000001E-3</c:v>
                </c:pt>
                <c:pt idx="13">
                  <c:v>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28320"/>
        <c:axId val="178335744"/>
      </c:scatterChart>
      <c:valAx>
        <c:axId val="17832832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Particle 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335744"/>
        <c:crosses val="autoZero"/>
        <c:crossBetween val="midCat"/>
      </c:valAx>
      <c:valAx>
        <c:axId val="178335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at surface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8328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1/e fall-off of concentration via Brownian motion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'Settling Time'!$L$24:$L$43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100</c:v>
                </c:pt>
                <c:pt idx="12">
                  <c:v>150</c:v>
                </c:pt>
                <c:pt idx="13">
                  <c:v>200</c:v>
                </c:pt>
                <c:pt idx="14">
                  <c:v>250</c:v>
                </c:pt>
                <c:pt idx="15">
                  <c:v>300</c:v>
                </c:pt>
                <c:pt idx="16">
                  <c:v>350</c:v>
                </c:pt>
                <c:pt idx="17">
                  <c:v>400</c:v>
                </c:pt>
                <c:pt idx="18">
                  <c:v>450</c:v>
                </c:pt>
                <c:pt idx="19">
                  <c:v>500</c:v>
                </c:pt>
              </c:numCache>
            </c:numRef>
          </c:xVal>
          <c:yVal>
            <c:numRef>
              <c:f>'Settling Time'!$M$24:$M$43</c:f>
              <c:numCache>
                <c:formatCode>0.00</c:formatCode>
                <c:ptCount val="20"/>
                <c:pt idx="0">
                  <c:v>800.99964939498284</c:v>
                </c:pt>
                <c:pt idx="1">
                  <c:v>100.12495617437285</c:v>
                </c:pt>
                <c:pt idx="2">
                  <c:v>29.666653681295674</c:v>
                </c:pt>
                <c:pt idx="3">
                  <c:v>12.515619521796607</c:v>
                </c:pt>
                <c:pt idx="4">
                  <c:v>3.7083317101619593</c:v>
                </c:pt>
                <c:pt idx="5">
                  <c:v>1.5644524402245759</c:v>
                </c:pt>
                <c:pt idx="6">
                  <c:v>0.80099964939498314</c:v>
                </c:pt>
                <c:pt idx="7">
                  <c:v>0.46354146377024491</c:v>
                </c:pt>
                <c:pt idx="8">
                  <c:v>0.29190949321974591</c:v>
                </c:pt>
                <c:pt idx="9">
                  <c:v>0.19555655502807198</c:v>
                </c:pt>
                <c:pt idx="10">
                  <c:v>0.13734561889488733</c:v>
                </c:pt>
                <c:pt idx="11">
                  <c:v>0.10012495617437289</c:v>
                </c:pt>
                <c:pt idx="12">
                  <c:v>2.966665368129567E-2</c:v>
                </c:pt>
                <c:pt idx="13">
                  <c:v>1.2515619521796612E-2</c:v>
                </c:pt>
                <c:pt idx="14">
                  <c:v>6.4079971951598643E-3</c:v>
                </c:pt>
                <c:pt idx="15">
                  <c:v>3.7083317101619588E-3</c:v>
                </c:pt>
                <c:pt idx="16">
                  <c:v>2.3352759457579684E-3</c:v>
                </c:pt>
                <c:pt idx="17">
                  <c:v>1.5644524402245764E-3</c:v>
                </c:pt>
                <c:pt idx="18">
                  <c:v>1.0987649511590989E-3</c:v>
                </c:pt>
                <c:pt idx="19">
                  <c:v>8.0099964939498304E-4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22528"/>
        <c:axId val="171224448"/>
      </c:scatterChart>
      <c:valAx>
        <c:axId val="17122252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 (Log scale)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1224448"/>
        <c:crosses val="autoZero"/>
        <c:crossBetween val="midCat"/>
      </c:valAx>
      <c:valAx>
        <c:axId val="17122444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1/e fall-off mm (Log scale)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1222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Percolation Threshold v Aspect Ratio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Percolation!$B$5:$B$23</c:f>
              <c:numCache>
                <c:formatCode>General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  <c:pt idx="12">
                  <c:v>20</c:v>
                </c:pt>
                <c:pt idx="13">
                  <c:v>30</c:v>
                </c:pt>
                <c:pt idx="14">
                  <c:v>40</c:v>
                </c:pt>
                <c:pt idx="15">
                  <c:v>50</c:v>
                </c:pt>
                <c:pt idx="16">
                  <c:v>60</c:v>
                </c:pt>
                <c:pt idx="17">
                  <c:v>80</c:v>
                </c:pt>
                <c:pt idx="18">
                  <c:v>100</c:v>
                </c:pt>
              </c:numCache>
            </c:numRef>
          </c:xVal>
          <c:yVal>
            <c:numRef>
              <c:f>Percolation!$C$5:$C$23</c:f>
              <c:numCache>
                <c:formatCode>0.0%</c:formatCode>
                <c:ptCount val="19"/>
                <c:pt idx="0">
                  <c:v>0.28541059759074089</c:v>
                </c:pt>
                <c:pt idx="1">
                  <c:v>0.27577470656417619</c:v>
                </c:pt>
                <c:pt idx="2">
                  <c:v>0.25772494873344154</c:v>
                </c:pt>
                <c:pt idx="3">
                  <c:v>0.2191196464042203</c:v>
                </c:pt>
                <c:pt idx="4">
                  <c:v>0.18553061756623948</c:v>
                </c:pt>
                <c:pt idx="5">
                  <c:v>0.15825458327373393</c:v>
                </c:pt>
                <c:pt idx="6">
                  <c:v>0.13642003024190538</c:v>
                </c:pt>
                <c:pt idx="7">
                  <c:v>0.11890408385451491</c:v>
                </c:pt>
                <c:pt idx="8">
                  <c:v>0.10473535250202558</c:v>
                </c:pt>
                <c:pt idx="9">
                  <c:v>8.3576850853280898E-2</c:v>
                </c:pt>
                <c:pt idx="10">
                  <c:v>6.8816241818456109E-2</c:v>
                </c:pt>
                <c:pt idx="11">
                  <c:v>5.3798321777900594E-2</c:v>
                </c:pt>
                <c:pt idx="12">
                  <c:v>3.8869446906364916E-2</c:v>
                </c:pt>
                <c:pt idx="13">
                  <c:v>2.4500884599493549E-2</c:v>
                </c:pt>
                <c:pt idx="14">
                  <c:v>1.771063024424286E-2</c:v>
                </c:pt>
                <c:pt idx="15">
                  <c:v>1.3811673253818324E-2</c:v>
                </c:pt>
                <c:pt idx="16">
                  <c:v>1.129781030732367E-2</c:v>
                </c:pt>
                <c:pt idx="17">
                  <c:v>8.2626737608150879E-3</c:v>
                </c:pt>
                <c:pt idx="18">
                  <c:v>6.5036776792329488E-3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92512"/>
        <c:axId val="172606976"/>
      </c:scatterChart>
      <c:valAx>
        <c:axId val="17259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Aspect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2606976"/>
        <c:crosses val="autoZero"/>
        <c:crossBetween val="midCat"/>
      </c:valAx>
      <c:valAx>
        <c:axId val="172606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Percolation Threshold %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2592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 of S on Permeability Fixed AR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'Clay barriers'!$C$5</c:f>
              <c:strCache>
                <c:ptCount val="1"/>
                <c:pt idx="0">
                  <c:v>S=-0.5</c:v>
                </c:pt>
              </c:strCache>
            </c:strRef>
          </c:tx>
          <c:xVal>
            <c:numRef>
              <c:f>'Clay barriers'!$B$7:$B$14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</c:numCache>
            </c:numRef>
          </c:xVal>
          <c:yVal>
            <c:numRef>
              <c:f>'Clay barriers'!$C$7:$C$14</c:f>
              <c:numCache>
                <c:formatCode>0.00</c:formatCode>
                <c:ptCount val="8"/>
                <c:pt idx="0">
                  <c:v>1</c:v>
                </c:pt>
                <c:pt idx="1">
                  <c:v>0.99</c:v>
                </c:pt>
                <c:pt idx="2">
                  <c:v>0.98</c:v>
                </c:pt>
                <c:pt idx="3">
                  <c:v>0.96</c:v>
                </c:pt>
                <c:pt idx="4">
                  <c:v>0.92</c:v>
                </c:pt>
                <c:pt idx="5">
                  <c:v>0.84</c:v>
                </c:pt>
                <c:pt idx="6">
                  <c:v>0.67999999999999994</c:v>
                </c:pt>
                <c:pt idx="7">
                  <c:v>0.36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'Clay barriers'!$D$5</c:f>
              <c:strCache>
                <c:ptCount val="1"/>
                <c:pt idx="0">
                  <c:v>S=0</c:v>
                </c:pt>
              </c:strCache>
            </c:strRef>
          </c:tx>
          <c:xVal>
            <c:numRef>
              <c:f>'Clay barriers'!$B$7:$B$14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</c:numCache>
            </c:numRef>
          </c:xVal>
          <c:yVal>
            <c:numRef>
              <c:f>'Clay barriers'!$D$7:$D$14</c:f>
              <c:numCache>
                <c:formatCode>0.00</c:formatCode>
                <c:ptCount val="8"/>
                <c:pt idx="0">
                  <c:v>1</c:v>
                </c:pt>
                <c:pt idx="1">
                  <c:v>0.84869267038148299</c:v>
                </c:pt>
                <c:pt idx="2">
                  <c:v>0.73518379594898731</c:v>
                </c:pt>
                <c:pt idx="3">
                  <c:v>0.57623049219687872</c:v>
                </c:pt>
                <c:pt idx="4">
                  <c:v>0.39451114922813041</c:v>
                </c:pt>
                <c:pt idx="5">
                  <c:v>0.22925764192139736</c:v>
                </c:pt>
                <c:pt idx="6">
                  <c:v>0.10745891276864726</c:v>
                </c:pt>
                <c:pt idx="7">
                  <c:v>3.0885380919698006E-2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'Clay barriers'!$E$5</c:f>
              <c:strCache>
                <c:ptCount val="1"/>
                <c:pt idx="0">
                  <c:v>S=1</c:v>
                </c:pt>
              </c:strCache>
            </c:strRef>
          </c:tx>
          <c:xVal>
            <c:numRef>
              <c:f>'Clay barriers'!$B$7:$B$14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64</c:v>
                </c:pt>
              </c:numCache>
            </c:numRef>
          </c:xVal>
          <c:yVal>
            <c:numRef>
              <c:f>'Clay barriers'!$E$7:$E$14</c:f>
              <c:numCache>
                <c:formatCode>0.00</c:formatCode>
                <c:ptCount val="8"/>
                <c:pt idx="0">
                  <c:v>1</c:v>
                </c:pt>
                <c:pt idx="1">
                  <c:v>0.66022007335778587</c:v>
                </c:pt>
                <c:pt idx="2">
                  <c:v>0.49024512256128061</c:v>
                </c:pt>
                <c:pt idx="3">
                  <c:v>0.32021347565043357</c:v>
                </c:pt>
                <c:pt idx="4">
                  <c:v>0.18414731785428343</c:v>
                </c:pt>
                <c:pt idx="5">
                  <c:v>9.3416370106761557E-2</c:v>
                </c:pt>
                <c:pt idx="6">
                  <c:v>4.0037682524729147E-2</c:v>
                </c:pt>
                <c:pt idx="7">
                  <c:v>1.0919679689395776E-2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58400"/>
        <c:axId val="173160320"/>
      </c:scatterChart>
      <c:valAx>
        <c:axId val="17315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Clay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160320"/>
        <c:crosses val="autoZero"/>
        <c:crossBetween val="midCat"/>
      </c:valAx>
      <c:valAx>
        <c:axId val="173160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Permeability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3158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Effect of Aspect Ratio on Permeability Fixed S</a:t>
            </a:r>
          </a:p>
        </c:rich>
      </c:tx>
      <c:layout>
        <c:manualLayout>
          <c:xMode val="edge"/>
          <c:yMode val="edge"/>
          <c:x val="0.17062243725558401"/>
          <c:y val="2.359882005899705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'Clay barriers'!$C$16</c:f>
              <c:strCache>
                <c:ptCount val="1"/>
                <c:pt idx="0">
                  <c:v>AR=1</c:v>
                </c:pt>
              </c:strCache>
            </c:strRef>
          </c:tx>
          <c:xVal>
            <c:numRef>
              <c:f>'Clay barriers'!$B$18:$B$25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</c:numCache>
            </c:numRef>
          </c:xVal>
          <c:yVal>
            <c:numRef>
              <c:f>'Clay barriers'!$C$18:$C$25</c:f>
              <c:numCache>
                <c:formatCode>0.00</c:formatCode>
                <c:ptCount val="8"/>
                <c:pt idx="0">
                  <c:v>1</c:v>
                </c:pt>
                <c:pt idx="1">
                  <c:v>0.98507952775884444</c:v>
                </c:pt>
                <c:pt idx="2">
                  <c:v>0.97030663669937334</c:v>
                </c:pt>
                <c:pt idx="3">
                  <c:v>0.94119492539069383</c:v>
                </c:pt>
                <c:pt idx="4">
                  <c:v>0.91264794120217085</c:v>
                </c:pt>
                <c:pt idx="5">
                  <c:v>0.88464940959267668</c:v>
                </c:pt>
                <c:pt idx="6">
                  <c:v>0.85718367541311502</c:v>
                </c:pt>
                <c:pt idx="7">
                  <c:v>0.83023567371738016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'Clay barriers'!$D$16</c:f>
              <c:strCache>
                <c:ptCount val="1"/>
                <c:pt idx="0">
                  <c:v>AR=25</c:v>
                </c:pt>
              </c:strCache>
            </c:strRef>
          </c:tx>
          <c:xVal>
            <c:numRef>
              <c:f>'Clay barriers'!$B$18:$B$25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</c:numCache>
            </c:numRef>
          </c:xVal>
          <c:yVal>
            <c:numRef>
              <c:f>'Clay barriers'!$D$18:$D$25</c:f>
              <c:numCache>
                <c:formatCode>0.00</c:formatCode>
                <c:ptCount val="8"/>
                <c:pt idx="0">
                  <c:v>1</c:v>
                </c:pt>
                <c:pt idx="1">
                  <c:v>0.88009778864318255</c:v>
                </c:pt>
                <c:pt idx="2">
                  <c:v>0.78415683136627312</c:v>
                </c:pt>
                <c:pt idx="3">
                  <c:v>0.640213404468156</c:v>
                </c:pt>
                <c:pt idx="4">
                  <c:v>0.53737315992568246</c:v>
                </c:pt>
                <c:pt idx="5">
                  <c:v>0.46023011505752875</c:v>
                </c:pt>
                <c:pt idx="6">
                  <c:v>0.40022234574763754</c:v>
                </c:pt>
                <c:pt idx="7">
                  <c:v>0.35221132679607764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'Clay barriers'!$E$16</c:f>
              <c:strCache>
                <c:ptCount val="1"/>
                <c:pt idx="0">
                  <c:v>AR=100</c:v>
                </c:pt>
              </c:strCache>
            </c:strRef>
          </c:tx>
          <c:xVal>
            <c:numRef>
              <c:f>'Clay barriers'!$B$18:$B$25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</c:numCache>
            </c:numRef>
          </c:xVal>
          <c:yVal>
            <c:numRef>
              <c:f>'Clay barriers'!$E$18:$E$25</c:f>
              <c:numCache>
                <c:formatCode>0.00</c:formatCode>
                <c:ptCount val="8"/>
                <c:pt idx="0">
                  <c:v>1</c:v>
                </c:pt>
                <c:pt idx="1">
                  <c:v>0.66022007335778587</c:v>
                </c:pt>
                <c:pt idx="2">
                  <c:v>0.49024512256128061</c:v>
                </c:pt>
                <c:pt idx="3">
                  <c:v>0.32021347565043357</c:v>
                </c:pt>
                <c:pt idx="4">
                  <c:v>0.235176382286715</c:v>
                </c:pt>
                <c:pt idx="5">
                  <c:v>0.18414731785428343</c:v>
                </c:pt>
                <c:pt idx="6">
                  <c:v>0.15012510425354461</c:v>
                </c:pt>
                <c:pt idx="7">
                  <c:v>0.12582213325707747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87072"/>
        <c:axId val="173188992"/>
      </c:scatterChart>
      <c:valAx>
        <c:axId val="1731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Clay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188992"/>
        <c:crosses val="autoZero"/>
        <c:crossBetween val="midCat"/>
      </c:valAx>
      <c:valAx>
        <c:axId val="173188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Permeability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3187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Lennard-Jones VdW potential</a:t>
            </a:r>
          </a:p>
        </c:rich>
      </c:tx>
      <c:layout>
        <c:manualLayout>
          <c:xMode val="edge"/>
          <c:yMode val="edge"/>
          <c:x val="0.26644794400699912"/>
          <c:y val="2.3088019590275521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Repulsive</c:v>
          </c:tx>
          <c:marker>
            <c:symbol val="none"/>
          </c:marker>
          <c:xVal>
            <c:numRef>
              <c:f>VdW!$B$6:$B$56</c:f>
              <c:numCache>
                <c:formatCode>General</c:formatCode>
                <c:ptCount val="5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  <c:pt idx="37">
                  <c:v>8.4000000000000021</c:v>
                </c:pt>
                <c:pt idx="38">
                  <c:v>8.6000000000000014</c:v>
                </c:pt>
                <c:pt idx="39">
                  <c:v>8.8000000000000007</c:v>
                </c:pt>
                <c:pt idx="40">
                  <c:v>9</c:v>
                </c:pt>
                <c:pt idx="41">
                  <c:v>9.1999999999999993</c:v>
                </c:pt>
                <c:pt idx="42">
                  <c:v>9.3999999999999986</c:v>
                </c:pt>
                <c:pt idx="43">
                  <c:v>9.5999999999999979</c:v>
                </c:pt>
                <c:pt idx="44">
                  <c:v>9.7999999999999972</c:v>
                </c:pt>
                <c:pt idx="45">
                  <c:v>9.9999999999999964</c:v>
                </c:pt>
                <c:pt idx="46">
                  <c:v>10.199999999999996</c:v>
                </c:pt>
                <c:pt idx="47">
                  <c:v>10.399999999999995</c:v>
                </c:pt>
                <c:pt idx="48">
                  <c:v>10.599999999999994</c:v>
                </c:pt>
                <c:pt idx="49">
                  <c:v>10.799999999999994</c:v>
                </c:pt>
                <c:pt idx="50">
                  <c:v>10.999999999999993</c:v>
                </c:pt>
              </c:numCache>
            </c:numRef>
          </c:xVal>
          <c:yVal>
            <c:numRef>
              <c:f>VdW!$C$6:$C$56</c:f>
              <c:numCache>
                <c:formatCode>General</c:formatCode>
                <c:ptCount val="51"/>
                <c:pt idx="0">
                  <c:v>212576.40000000008</c:v>
                </c:pt>
                <c:pt idx="1">
                  <c:v>23841.857910156279</c:v>
                </c:pt>
                <c:pt idx="2">
                  <c:v>3749.545429019096</c:v>
                </c:pt>
                <c:pt idx="3">
                  <c:v>755.22308407016703</c:v>
                </c:pt>
                <c:pt idx="4">
                  <c:v>183.75746319911343</c:v>
                </c:pt>
                <c:pt idx="5">
                  <c:v>51.89853515625002</c:v>
                </c:pt>
                <c:pt idx="6">
                  <c:v>16.536472694805664</c:v>
                </c:pt>
                <c:pt idx="7">
                  <c:v>5.8207660913467478</c:v>
                </c:pt>
                <c:pt idx="8">
                  <c:v>2.2275880134960788</c:v>
                </c:pt>
                <c:pt idx="9">
                  <c:v>0.91541636450661257</c:v>
                </c:pt>
                <c:pt idx="10">
                  <c:v>0.39999999999999902</c:v>
                </c:pt>
                <c:pt idx="11">
                  <c:v>0.18438063575931771</c:v>
                </c:pt>
                <c:pt idx="12">
                  <c:v>8.9077504839183391E-2</c:v>
                </c:pt>
                <c:pt idx="13">
                  <c:v>4.4862661913845851E-2</c:v>
                </c:pt>
                <c:pt idx="14">
                  <c:v>2.3448328436762533E-2</c:v>
                </c:pt>
                <c:pt idx="15">
                  <c:v>1.2670540809631311E-2</c:v>
                </c:pt>
                <c:pt idx="16">
                  <c:v>7.055431231348502E-3</c:v>
                </c:pt>
                <c:pt idx="17">
                  <c:v>4.0372247790052725E-3</c:v>
                </c:pt>
                <c:pt idx="18">
                  <c:v>2.3682146740520364E-3</c:v>
                </c:pt>
                <c:pt idx="19">
                  <c:v>1.4210854715201945E-3</c:v>
                </c:pt>
                <c:pt idx="20">
                  <c:v>8.7071293439999699E-4</c:v>
                </c:pt>
                <c:pt idx="21">
                  <c:v>5.4384472985743863E-4</c:v>
                </c:pt>
                <c:pt idx="22">
                  <c:v>3.4577208608126304E-4</c:v>
                </c:pt>
                <c:pt idx="23">
                  <c:v>2.2349032336587169E-4</c:v>
                </c:pt>
                <c:pt idx="24">
                  <c:v>1.4668277759923606E-4</c:v>
                </c:pt>
                <c:pt idx="25">
                  <c:v>9.7656249999999504E-5</c:v>
                </c:pt>
                <c:pt idx="26">
                  <c:v>6.5889281840415107E-5</c:v>
                </c:pt>
                <c:pt idx="27">
                  <c:v>4.5014803652177066E-5</c:v>
                </c:pt>
                <c:pt idx="28">
                  <c:v>3.111629079202687E-5</c:v>
                </c:pt>
                <c:pt idx="29">
                  <c:v>2.1747437704878673E-5</c:v>
                </c:pt>
                <c:pt idx="30">
                  <c:v>1.5358138077262126E-5</c:v>
                </c:pt>
                <c:pt idx="31">
                  <c:v>1.0952798318809999E-5</c:v>
                </c:pt>
                <c:pt idx="32">
                  <c:v>7.8837784492744462E-6</c:v>
                </c:pt>
                <c:pt idx="33">
                  <c:v>5.7246895597564677E-6</c:v>
                </c:pt>
                <c:pt idx="34">
                  <c:v>4.1915998455069585E-6</c:v>
                </c:pt>
                <c:pt idx="35">
                  <c:v>3.0933937523513862E-6</c:v>
                </c:pt>
                <c:pt idx="36">
                  <c:v>2.3001111293232644E-6</c:v>
                </c:pt>
                <c:pt idx="37">
                  <c:v>1.7225173904659429E-6</c:v>
                </c:pt>
                <c:pt idx="38">
                  <c:v>1.2987741408212721E-6</c:v>
                </c:pt>
                <c:pt idx="39">
                  <c:v>9.8565058081183516E-7</c:v>
                </c:pt>
                <c:pt idx="40">
                  <c:v>7.5267056926356846E-7</c:v>
                </c:pt>
                <c:pt idx="41">
                  <c:v>5.7817741065723799E-7</c:v>
                </c:pt>
                <c:pt idx="42">
                  <c:v>4.4666384977276451E-7</c:v>
                </c:pt>
                <c:pt idx="43">
                  <c:v>3.4694469519536264E-7</c:v>
                </c:pt>
                <c:pt idx="44">
                  <c:v>2.7089571761419783E-7</c:v>
                </c:pt>
                <c:pt idx="45">
                  <c:v>2.1257640000000088E-7</c:v>
                </c:pt>
                <c:pt idx="46">
                  <c:v>1.676150406897173E-7</c:v>
                </c:pt>
                <c:pt idx="47">
                  <c:v>1.327745922503526E-7</c:v>
                </c:pt>
                <c:pt idx="48">
                  <c:v>1.0564395821949066E-7</c:v>
                </c:pt>
                <c:pt idx="49">
                  <c:v>8.4417013203434366E-8</c:v>
                </c:pt>
                <c:pt idx="50">
                  <c:v>6.7733392157924443E-8</c:v>
                </c:pt>
              </c:numCache>
            </c:numRef>
          </c:yVal>
          <c:smooth val="1"/>
        </c:ser>
        <c:ser>
          <c:idx val="1"/>
          <c:order val="1"/>
          <c:tx>
            <c:v>Result</c:v>
          </c:tx>
          <c:marker>
            <c:symbol val="none"/>
          </c:marker>
          <c:xVal>
            <c:numRef>
              <c:f>VdW!$B$6:$B$56</c:f>
              <c:numCache>
                <c:formatCode>General</c:formatCode>
                <c:ptCount val="5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  <c:pt idx="37">
                  <c:v>8.4000000000000021</c:v>
                </c:pt>
                <c:pt idx="38">
                  <c:v>8.6000000000000014</c:v>
                </c:pt>
                <c:pt idx="39">
                  <c:v>8.8000000000000007</c:v>
                </c:pt>
                <c:pt idx="40">
                  <c:v>9</c:v>
                </c:pt>
                <c:pt idx="41">
                  <c:v>9.1999999999999993</c:v>
                </c:pt>
                <c:pt idx="42">
                  <c:v>9.3999999999999986</c:v>
                </c:pt>
                <c:pt idx="43">
                  <c:v>9.5999999999999979</c:v>
                </c:pt>
                <c:pt idx="44">
                  <c:v>9.7999999999999972</c:v>
                </c:pt>
                <c:pt idx="45">
                  <c:v>9.9999999999999964</c:v>
                </c:pt>
                <c:pt idx="46">
                  <c:v>10.199999999999996</c:v>
                </c:pt>
                <c:pt idx="47">
                  <c:v>10.399999999999995</c:v>
                </c:pt>
                <c:pt idx="48">
                  <c:v>10.599999999999994</c:v>
                </c:pt>
                <c:pt idx="49">
                  <c:v>10.799999999999994</c:v>
                </c:pt>
                <c:pt idx="50">
                  <c:v>10.999999999999993</c:v>
                </c:pt>
              </c:numCache>
            </c:numRef>
          </c:xVal>
          <c:yVal>
            <c:numRef>
              <c:f>VdW!$E$6:$E$56</c:f>
              <c:numCache>
                <c:formatCode>General</c:formatCode>
                <c:ptCount val="51"/>
                <c:pt idx="0">
                  <c:v>211993.20000000007</c:v>
                </c:pt>
                <c:pt idx="1">
                  <c:v>23646.545410156279</c:v>
                </c:pt>
                <c:pt idx="2">
                  <c:v>3672.0904570261337</c:v>
                </c:pt>
                <c:pt idx="3">
                  <c:v>720.46165523715922</c:v>
                </c:pt>
                <c:pt idx="4">
                  <c:v>166.61068679307778</c:v>
                </c:pt>
                <c:pt idx="5">
                  <c:v>42.786035156250016</c:v>
                </c:pt>
                <c:pt idx="6">
                  <c:v>11.392704007190613</c:v>
                </c:pt>
                <c:pt idx="7">
                  <c:v>2.7690082788467456</c:v>
                </c:pt>
                <c:pt idx="8">
                  <c:v>0.33969479045783557</c:v>
                </c:pt>
                <c:pt idx="9">
                  <c:v>-0.29481757288341959</c:v>
                </c:pt>
                <c:pt idx="10">
                  <c:v>-0.4</c:v>
                </c:pt>
                <c:pt idx="11">
                  <c:v>-0.35876668975642878</c:v>
                </c:pt>
                <c:pt idx="12">
                  <c:v>-0.28844601461714592</c:v>
                </c:pt>
                <c:pt idx="13">
                  <c:v>-0.22305571943046087</c:v>
                </c:pt>
                <c:pt idx="14">
                  <c:v>-0.170245567953444</c:v>
                </c:pt>
                <c:pt idx="15">
                  <c:v>-0.12971227169036847</c:v>
                </c:pt>
                <c:pt idx="16">
                  <c:v>-9.9192815672577442E-2</c:v>
                </c:pt>
                <c:pt idx="17">
                  <c:v>-7.6334160964979733E-2</c:v>
                </c:pt>
                <c:pt idx="18">
                  <c:v>-5.9187804353198738E-2</c:v>
                </c:pt>
                <c:pt idx="19">
                  <c:v>-4.6262630348792216E-2</c:v>
                </c:pt>
                <c:pt idx="20">
                  <c:v>-3.6454087065599945E-2</c:v>
                </c:pt>
                <c:pt idx="21">
                  <c:v>-2.8954486880115045E-2</c:v>
                </c:pt>
                <c:pt idx="22">
                  <c:v>-2.3175183203405197E-2</c:v>
                </c:pt>
                <c:pt idx="23">
                  <c:v>-1.868641494835336E-2</c:v>
                </c:pt>
                <c:pt idx="24">
                  <c:v>-1.5172992289411087E-2</c:v>
                </c:pt>
                <c:pt idx="25">
                  <c:v>-1.240234374999997E-2</c:v>
                </c:pt>
                <c:pt idx="26">
                  <c:v>-1.0201673766160031E-2</c:v>
                </c:pt>
                <c:pt idx="27">
                  <c:v>-8.4416621575313534E-3</c:v>
                </c:pt>
                <c:pt idx="28">
                  <c:v>-7.0248078348801729E-3</c:v>
                </c:pt>
                <c:pt idx="29">
                  <c:v>-5.8770575538002546E-3</c:v>
                </c:pt>
                <c:pt idx="30">
                  <c:v>-4.9417600694723019E-3</c:v>
                </c:pt>
                <c:pt idx="31">
                  <c:v>-4.1752719101859782E-3</c:v>
                </c:pt>
                <c:pt idx="32">
                  <c:v>-3.543741978699009E-3</c:v>
                </c:pt>
                <c:pt idx="33">
                  <c:v>-3.0207424415372177E-3</c:v>
                </c:pt>
                <c:pt idx="34">
                  <c:v>-2.5855110380670269E-3</c:v>
                </c:pt>
                <c:pt idx="35">
                  <c:v>-2.2216380515601422E-3</c:v>
                </c:pt>
                <c:pt idx="36">
                  <c:v>-1.916078841767425E-3</c:v>
                </c:pt>
                <c:pt idx="37">
                  <c:v>-1.6584063404833768E-3</c:v>
                </c:pt>
                <c:pt idx="38">
                  <c:v>-1.4402415913411983E-3</c:v>
                </c:pt>
                <c:pt idx="39">
                  <c:v>-1.2548172516689546E-3</c:v>
                </c:pt>
                <c:pt idx="40">
                  <c:v>-1.096641019417019E-3</c:v>
                </c:pt>
                <c:pt idx="41">
                  <c:v>-9.6123461989013818E-4</c:v>
                </c:pt>
                <c:pt idx="42">
                  <c:v>-8.4493026961625427E-4</c:v>
                </c:pt>
                <c:pt idx="43">
                  <c:v>-7.4471111499718875E-4</c:v>
                </c:pt>
                <c:pt idx="44">
                  <c:v>-6.5808550334198082E-4</c:v>
                </c:pt>
                <c:pt idx="45">
                  <c:v>-5.829874236000013E-4</c:v>
                </c:pt>
                <c:pt idx="46">
                  <c:v>-5.1769729505029888E-4</c:v>
                </c:pt>
                <c:pt idx="47">
                  <c:v>-4.6077865681357213E-4</c:v>
                </c:pt>
                <c:pt idx="48">
                  <c:v>-4.1102734322620121E-4</c:v>
                </c:pt>
                <c:pt idx="49">
                  <c:v>-3.6743050938502458E-4</c:v>
                </c:pt>
                <c:pt idx="50">
                  <c:v>-3.2913346261520646E-4</c:v>
                </c:pt>
              </c:numCache>
            </c:numRef>
          </c:yVal>
          <c:smooth val="1"/>
        </c:ser>
        <c:ser>
          <c:idx val="2"/>
          <c:order val="2"/>
          <c:tx>
            <c:v>Attractive</c:v>
          </c:tx>
          <c:marker>
            <c:symbol val="none"/>
          </c:marker>
          <c:xVal>
            <c:numRef>
              <c:f>VdW!$B$6:$B$56</c:f>
              <c:numCache>
                <c:formatCode>General</c:formatCode>
                <c:ptCount val="5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  <c:pt idx="21">
                  <c:v>5.200000000000002</c:v>
                </c:pt>
                <c:pt idx="22">
                  <c:v>5.4000000000000021</c:v>
                </c:pt>
                <c:pt idx="23">
                  <c:v>5.6000000000000023</c:v>
                </c:pt>
                <c:pt idx="24">
                  <c:v>5.8000000000000025</c:v>
                </c:pt>
                <c:pt idx="25">
                  <c:v>6.0000000000000027</c:v>
                </c:pt>
                <c:pt idx="26">
                  <c:v>6.2000000000000028</c:v>
                </c:pt>
                <c:pt idx="27">
                  <c:v>6.400000000000003</c:v>
                </c:pt>
                <c:pt idx="28">
                  <c:v>6.6000000000000032</c:v>
                </c:pt>
                <c:pt idx="29">
                  <c:v>6.8000000000000034</c:v>
                </c:pt>
                <c:pt idx="30">
                  <c:v>7.0000000000000036</c:v>
                </c:pt>
                <c:pt idx="31">
                  <c:v>7.2000000000000037</c:v>
                </c:pt>
                <c:pt idx="32">
                  <c:v>7.4000000000000039</c:v>
                </c:pt>
                <c:pt idx="33">
                  <c:v>7.6000000000000041</c:v>
                </c:pt>
                <c:pt idx="34">
                  <c:v>7.8000000000000043</c:v>
                </c:pt>
                <c:pt idx="35">
                  <c:v>8.0000000000000036</c:v>
                </c:pt>
                <c:pt idx="36">
                  <c:v>8.2000000000000028</c:v>
                </c:pt>
                <c:pt idx="37">
                  <c:v>8.4000000000000021</c:v>
                </c:pt>
                <c:pt idx="38">
                  <c:v>8.6000000000000014</c:v>
                </c:pt>
                <c:pt idx="39">
                  <c:v>8.8000000000000007</c:v>
                </c:pt>
                <c:pt idx="40">
                  <c:v>9</c:v>
                </c:pt>
                <c:pt idx="41">
                  <c:v>9.1999999999999993</c:v>
                </c:pt>
                <c:pt idx="42">
                  <c:v>9.3999999999999986</c:v>
                </c:pt>
                <c:pt idx="43">
                  <c:v>9.5999999999999979</c:v>
                </c:pt>
                <c:pt idx="44">
                  <c:v>9.7999999999999972</c:v>
                </c:pt>
                <c:pt idx="45">
                  <c:v>9.9999999999999964</c:v>
                </c:pt>
                <c:pt idx="46">
                  <c:v>10.199999999999996</c:v>
                </c:pt>
                <c:pt idx="47">
                  <c:v>10.399999999999995</c:v>
                </c:pt>
                <c:pt idx="48">
                  <c:v>10.599999999999994</c:v>
                </c:pt>
                <c:pt idx="49">
                  <c:v>10.799999999999994</c:v>
                </c:pt>
                <c:pt idx="50">
                  <c:v>10.999999999999993</c:v>
                </c:pt>
              </c:numCache>
            </c:numRef>
          </c:xVal>
          <c:yVal>
            <c:numRef>
              <c:f>VdW!$D$6:$D$56</c:f>
              <c:numCache>
                <c:formatCode>General</c:formatCode>
                <c:ptCount val="51"/>
                <c:pt idx="0">
                  <c:v>-583.20000000000016</c:v>
                </c:pt>
                <c:pt idx="1">
                  <c:v>-195.31250000000014</c:v>
                </c:pt>
                <c:pt idx="2">
                  <c:v>-77.454971992962172</c:v>
                </c:pt>
                <c:pt idx="3">
                  <c:v>-34.76142883300782</c:v>
                </c:pt>
                <c:pt idx="4">
                  <c:v>-17.14677640603567</c:v>
                </c:pt>
                <c:pt idx="5">
                  <c:v>-9.1125000000000025</c:v>
                </c:pt>
                <c:pt idx="6">
                  <c:v>-5.1437686876150508</c:v>
                </c:pt>
                <c:pt idx="7">
                  <c:v>-3.0517578125000022</c:v>
                </c:pt>
                <c:pt idx="8">
                  <c:v>-1.8878932230382433</c:v>
                </c:pt>
                <c:pt idx="9">
                  <c:v>-1.2102339373900322</c:v>
                </c:pt>
                <c:pt idx="10">
                  <c:v>-0.79999999999999905</c:v>
                </c:pt>
                <c:pt idx="11">
                  <c:v>-0.54314732551574652</c:v>
                </c:pt>
                <c:pt idx="12">
                  <c:v>-0.37752351945632934</c:v>
                </c:pt>
                <c:pt idx="13">
                  <c:v>-0.26791838134430673</c:v>
                </c:pt>
                <c:pt idx="14">
                  <c:v>-0.19369389639020654</c:v>
                </c:pt>
                <c:pt idx="15">
                  <c:v>-0.14238281249999979</c:v>
                </c:pt>
                <c:pt idx="16">
                  <c:v>-0.10624824690392594</c:v>
                </c:pt>
                <c:pt idx="17">
                  <c:v>-8.0371385743985002E-2</c:v>
                </c:pt>
                <c:pt idx="18">
                  <c:v>-6.1556019027250775E-2</c:v>
                </c:pt>
                <c:pt idx="19">
                  <c:v>-4.768371582031241E-2</c:v>
                </c:pt>
                <c:pt idx="20">
                  <c:v>-3.7324799999999943E-2</c:v>
                </c:pt>
                <c:pt idx="21">
                  <c:v>-2.9498331609972485E-2</c:v>
                </c:pt>
                <c:pt idx="22">
                  <c:v>-2.3520955289486459E-2</c:v>
                </c:pt>
                <c:pt idx="23">
                  <c:v>-1.8909905271719232E-2</c:v>
                </c:pt>
                <c:pt idx="24">
                  <c:v>-1.5319675067010322E-2</c:v>
                </c:pt>
                <c:pt idx="25">
                  <c:v>-1.2499999999999969E-2</c:v>
                </c:pt>
                <c:pt idx="26">
                  <c:v>-1.0267563048000446E-2</c:v>
                </c:pt>
                <c:pt idx="27">
                  <c:v>-8.4866769611835306E-3</c:v>
                </c:pt>
                <c:pt idx="28">
                  <c:v>-7.0559241256722E-3</c:v>
                </c:pt>
                <c:pt idx="29">
                  <c:v>-5.8988049915051329E-3</c:v>
                </c:pt>
                <c:pt idx="30">
                  <c:v>-4.9571182075495643E-3</c:v>
                </c:pt>
                <c:pt idx="31">
                  <c:v>-4.1862247085047884E-3</c:v>
                </c:pt>
                <c:pt idx="32">
                  <c:v>-3.5516257571482834E-3</c:v>
                </c:pt>
                <c:pt idx="33">
                  <c:v>-3.0264671310969741E-3</c:v>
                </c:pt>
                <c:pt idx="34">
                  <c:v>-2.5897026379125337E-3</c:v>
                </c:pt>
                <c:pt idx="35">
                  <c:v>-2.2247314453124937E-3</c:v>
                </c:pt>
                <c:pt idx="36">
                  <c:v>-1.9183789528967481E-3</c:v>
                </c:pt>
                <c:pt idx="37">
                  <c:v>-1.6601288578738428E-3</c:v>
                </c:pt>
                <c:pt idx="38">
                  <c:v>-1.4415403654820197E-3</c:v>
                </c:pt>
                <c:pt idx="39">
                  <c:v>-1.2558029022497665E-3</c:v>
                </c:pt>
                <c:pt idx="40">
                  <c:v>-1.0973936899862826E-3</c:v>
                </c:pt>
                <c:pt idx="41">
                  <c:v>-9.6181279730079541E-4</c:v>
                </c:pt>
                <c:pt idx="42">
                  <c:v>-8.4537693346602703E-4</c:v>
                </c:pt>
                <c:pt idx="43">
                  <c:v>-7.4505805969238411E-4</c:v>
                </c:pt>
                <c:pt idx="44">
                  <c:v>-6.5835639905959496E-4</c:v>
                </c:pt>
                <c:pt idx="45">
                  <c:v>-5.8320000000000127E-4</c:v>
                </c:pt>
                <c:pt idx="46">
                  <c:v>-5.1786491009098861E-4</c:v>
                </c:pt>
                <c:pt idx="47">
                  <c:v>-4.6091143140582246E-4</c:v>
                </c:pt>
                <c:pt idx="48">
                  <c:v>-4.1113298718442072E-4</c:v>
                </c:pt>
                <c:pt idx="49">
                  <c:v>-3.6751492639822803E-4</c:v>
                </c:pt>
                <c:pt idx="50">
                  <c:v>-3.2920119600736436E-4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43616"/>
        <c:axId val="177680384"/>
      </c:scatterChart>
      <c:valAx>
        <c:axId val="176543616"/>
        <c:scaling>
          <c:orientation val="minMax"/>
          <c:max val="1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7680384"/>
        <c:crosses val="autoZero"/>
        <c:crossBetween val="midCat"/>
      </c:valAx>
      <c:valAx>
        <c:axId val="1776803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 kJ/mole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654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DLVO theory</a:t>
            </a:r>
          </a:p>
        </c:rich>
      </c:tx>
      <c:layout>
        <c:manualLayout>
          <c:xMode val="edge"/>
          <c:yMode val="edge"/>
          <c:x val="0.379987871552157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44320949051043"/>
          <c:y val="9.0713755120232609E-2"/>
          <c:w val="0.64382557775945881"/>
          <c:h val="0.8276893690175520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DLVO!$F$26</c:f>
              <c:strCache>
                <c:ptCount val="1"/>
                <c:pt idx="0">
                  <c:v>VD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xVal>
            <c:numRef>
              <c:f>DLVO!$B$27:$B$76</c:f>
              <c:numCache>
                <c:formatCode>0.00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DLVO!$F$27:$F$76</c:f>
              <c:numCache>
                <c:formatCode>0.00</c:formatCode>
                <c:ptCount val="50"/>
                <c:pt idx="0">
                  <c:v>20.870609227181337</c:v>
                </c:pt>
                <c:pt idx="1">
                  <c:v>17.872498037627921</c:v>
                </c:pt>
                <c:pt idx="2">
                  <c:v>15.21591957795666</c:v>
                </c:pt>
                <c:pt idx="3">
                  <c:v>12.884336180942231</c:v>
                </c:pt>
                <c:pt idx="4">
                  <c:v>10.856332719657027</c:v>
                </c:pt>
                <c:pt idx="5">
                  <c:v>9.1070342353513656</c:v>
                </c:pt>
                <c:pt idx="6">
                  <c:v>7.6095620005618745</c:v>
                </c:pt>
                <c:pt idx="7">
                  <c:v>6.3363755058063349</c:v>
                </c:pt>
                <c:pt idx="8">
                  <c:v>5.2603969087761442</c:v>
                </c:pt>
                <c:pt idx="9">
                  <c:v>4.3558679893432979</c:v>
                </c:pt>
                <c:pt idx="10">
                  <c:v>3.5989353500752537</c:v>
                </c:pt>
                <c:pt idx="11">
                  <c:v>2.9679913355699683</c:v>
                </c:pt>
                <c:pt idx="12">
                  <c:v>2.4438152148391667</c:v>
                </c:pt>
                <c:pt idx="13">
                  <c:v>2.0095642638007134</c:v>
                </c:pt>
                <c:pt idx="14">
                  <c:v>1.6506614417488459</c:v>
                </c:pt>
                <c:pt idx="15">
                  <c:v>1.3546191063215631</c:v>
                </c:pt>
                <c:pt idx="16">
                  <c:v>1.1108294758626511</c:v>
                </c:pt>
                <c:pt idx="17">
                  <c:v>0.91034410738763094</c:v>
                </c:pt>
                <c:pt idx="18">
                  <c:v>0.74565742696989956</c:v>
                </c:pt>
                <c:pt idx="19">
                  <c:v>0.61050364125902556</c:v>
                </c:pt>
                <c:pt idx="20">
                  <c:v>0.49967213409427119</c:v>
                </c:pt>
                <c:pt idx="21">
                  <c:v>0.40884349978778289</c:v>
                </c:pt>
                <c:pt idx="22">
                  <c:v>0.33444641898676919</c:v>
                </c:pt>
                <c:pt idx="23">
                  <c:v>0.27353438783448619</c:v>
                </c:pt>
                <c:pt idx="24">
                  <c:v>0.22368064841072272</c:v>
                </c:pt>
                <c:pt idx="25">
                  <c:v>0.18288936641098857</c:v>
                </c:pt>
                <c:pt idx="26">
                  <c:v>0.1495210326724625</c:v>
                </c:pt>
                <c:pt idx="27">
                  <c:v>0.12223013706850099</c:v>
                </c:pt>
                <c:pt idx="28">
                  <c:v>9.9913313684431362E-2</c:v>
                </c:pt>
                <c:pt idx="29">
                  <c:v>8.1666343527047117E-2</c:v>
                </c:pt>
                <c:pt idx="30">
                  <c:v>6.6748598974213688E-2</c:v>
                </c:pt>
                <c:pt idx="31">
                  <c:v>5.4553706917580547E-2</c:v>
                </c:pt>
                <c:pt idx="32">
                  <c:v>4.4585386318221745E-2</c:v>
                </c:pt>
                <c:pt idx="33">
                  <c:v>3.6437576489772042E-2</c:v>
                </c:pt>
                <c:pt idx="34">
                  <c:v>2.9778113522554508E-2</c:v>
                </c:pt>
                <c:pt idx="35">
                  <c:v>2.4335334247255185E-2</c:v>
                </c:pt>
                <c:pt idx="36">
                  <c:v>1.9887091335129014E-2</c:v>
                </c:pt>
                <c:pt idx="37">
                  <c:v>1.6251751324263923E-2</c:v>
                </c:pt>
                <c:pt idx="38">
                  <c:v>1.3280821477748962E-2</c:v>
                </c:pt>
                <c:pt idx="39">
                  <c:v>1.0852913322726639E-2</c:v>
                </c:pt>
                <c:pt idx="40">
                  <c:v>8.8688022604323912E-3</c:v>
                </c:pt>
                <c:pt idx="41">
                  <c:v>7.2473853753596672E-3</c:v>
                </c:pt>
                <c:pt idx="42">
                  <c:v>5.9223749104321882E-3</c:v>
                </c:pt>
                <c:pt idx="43">
                  <c:v>4.8395940309686374E-3</c:v>
                </c:pt>
                <c:pt idx="44">
                  <c:v>3.9547655111351141E-3</c:v>
                </c:pt>
                <c:pt idx="45">
                  <c:v>3.2317037222802337E-3</c:v>
                </c:pt>
                <c:pt idx="46">
                  <c:v>2.6408365206984992E-3</c:v>
                </c:pt>
                <c:pt idx="47">
                  <c:v>2.1579969415315295E-3</c:v>
                </c:pt>
                <c:pt idx="48">
                  <c:v>1.7634355176927355E-3</c:v>
                </c:pt>
                <c:pt idx="49">
                  <c:v>1.4410129853336213E-3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DLVO!$G$26</c:f>
              <c:strCache>
                <c:ptCount val="1"/>
                <c:pt idx="0">
                  <c:v>VH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xVal>
            <c:numRef>
              <c:f>DLVO!$B$27:$B$76</c:f>
              <c:numCache>
                <c:formatCode>0.00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DLVO!$G$27:$G$76</c:f>
              <c:numCache>
                <c:formatCode>0.00</c:formatCode>
                <c:ptCount val="50"/>
                <c:pt idx="0">
                  <c:v>-19.460948363979554</c:v>
                </c:pt>
                <c:pt idx="1">
                  <c:v>-9.7304741819897771</c:v>
                </c:pt>
                <c:pt idx="2">
                  <c:v>-6.486982787993183</c:v>
                </c:pt>
                <c:pt idx="3">
                  <c:v>-4.8652370909948885</c:v>
                </c:pt>
                <c:pt idx="4">
                  <c:v>-3.8921896727959102</c:v>
                </c:pt>
                <c:pt idx="5">
                  <c:v>-3.2434913939965924</c:v>
                </c:pt>
                <c:pt idx="6">
                  <c:v>-2.7801354805685077</c:v>
                </c:pt>
                <c:pt idx="7">
                  <c:v>-2.4326185454974443</c:v>
                </c:pt>
                <c:pt idx="8">
                  <c:v>-2.1623275959977284</c:v>
                </c:pt>
                <c:pt idx="9">
                  <c:v>-1.9460948363979556</c:v>
                </c:pt>
                <c:pt idx="10">
                  <c:v>-1.7691771239981413</c:v>
                </c:pt>
                <c:pt idx="11">
                  <c:v>-1.6217456969982962</c:v>
                </c:pt>
                <c:pt idx="12">
                  <c:v>-1.4969960279984271</c:v>
                </c:pt>
                <c:pt idx="13">
                  <c:v>-1.3900677402842536</c:v>
                </c:pt>
                <c:pt idx="14">
                  <c:v>-1.2973965575986366</c:v>
                </c:pt>
                <c:pt idx="15">
                  <c:v>-1.2163092727487219</c:v>
                </c:pt>
                <c:pt idx="16">
                  <c:v>-1.1447616684693853</c:v>
                </c:pt>
                <c:pt idx="17">
                  <c:v>-1.081163797998864</c:v>
                </c:pt>
                <c:pt idx="18">
                  <c:v>-1.02426044020945</c:v>
                </c:pt>
                <c:pt idx="19">
                  <c:v>-0.97304741819897733</c:v>
                </c:pt>
                <c:pt idx="20">
                  <c:v>-0.92671182685616915</c:v>
                </c:pt>
                <c:pt idx="21">
                  <c:v>-0.88458856199907043</c:v>
                </c:pt>
                <c:pt idx="22">
                  <c:v>-0.84612818973824133</c:v>
                </c:pt>
                <c:pt idx="23">
                  <c:v>-0.81087284849914787</c:v>
                </c:pt>
                <c:pt idx="24">
                  <c:v>-0.77843793455918187</c:v>
                </c:pt>
                <c:pt idx="25">
                  <c:v>-0.74849801399921334</c:v>
                </c:pt>
                <c:pt idx="26">
                  <c:v>-0.72077586533257576</c:v>
                </c:pt>
                <c:pt idx="27">
                  <c:v>-0.6950338701421267</c:v>
                </c:pt>
                <c:pt idx="28">
                  <c:v>-0.67106718496481188</c:v>
                </c:pt>
                <c:pt idx="29">
                  <c:v>-0.64869827879931818</c:v>
                </c:pt>
                <c:pt idx="30">
                  <c:v>-0.62777252787030802</c:v>
                </c:pt>
                <c:pt idx="31">
                  <c:v>-0.60815463637436085</c:v>
                </c:pt>
                <c:pt idx="32">
                  <c:v>-0.58972570799938018</c:v>
                </c:pt>
                <c:pt idx="33">
                  <c:v>-0.57238083423469244</c:v>
                </c:pt>
                <c:pt idx="34">
                  <c:v>-0.55602709611370127</c:v>
                </c:pt>
                <c:pt idx="35">
                  <c:v>-0.54058189899943176</c:v>
                </c:pt>
                <c:pt idx="36">
                  <c:v>-0.52597157740485256</c:v>
                </c:pt>
                <c:pt idx="37">
                  <c:v>-0.51213022010472486</c:v>
                </c:pt>
                <c:pt idx="38">
                  <c:v>-0.49899867599947551</c:v>
                </c:pt>
                <c:pt idx="39">
                  <c:v>-0.48652370909948867</c:v>
                </c:pt>
                <c:pt idx="40">
                  <c:v>-0.47465727717023287</c:v>
                </c:pt>
                <c:pt idx="41">
                  <c:v>-0.46335591342808458</c:v>
                </c:pt>
                <c:pt idx="42">
                  <c:v>-0.45258019451115233</c:v>
                </c:pt>
                <c:pt idx="43">
                  <c:v>-0.44229428099953522</c:v>
                </c:pt>
                <c:pt idx="44">
                  <c:v>-0.43246551919954573</c:v>
                </c:pt>
                <c:pt idx="45">
                  <c:v>-0.42306409486912072</c:v>
                </c:pt>
                <c:pt idx="46">
                  <c:v>-0.41406273114850123</c:v>
                </c:pt>
                <c:pt idx="47">
                  <c:v>-0.40543642424957416</c:v>
                </c:pt>
                <c:pt idx="48">
                  <c:v>-0.39716221150978692</c:v>
                </c:pt>
                <c:pt idx="49">
                  <c:v>-0.38921896727959127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DLVO!$H$26</c:f>
              <c:strCache>
                <c:ptCount val="1"/>
                <c:pt idx="0">
                  <c:v>VS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xVal>
            <c:numRef>
              <c:f>DLVO!$B$27:$B$76</c:f>
              <c:numCache>
                <c:formatCode>0.00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DLVO!$H$27:$H$76</c:f>
              <c:numCache>
                <c:formatCode>0.00</c:formatCode>
                <c:ptCount val="50"/>
                <c:pt idx="0">
                  <c:v>12612.740521926156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DLVO!$I$26</c:f>
              <c:strCache>
                <c:ptCount val="1"/>
                <c:pt idx="0">
                  <c:v>VT</c:v>
                </c:pt>
              </c:strCache>
            </c:strRef>
          </c:tx>
          <c:marker>
            <c:symbol val="none"/>
          </c:marker>
          <c:xVal>
            <c:numRef>
              <c:f>DLVO!$B$27:$B$76</c:f>
              <c:numCache>
                <c:formatCode>0.00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DLVO!$I$27:$I$76</c:f>
              <c:numCache>
                <c:formatCode>0.00</c:formatCode>
                <c:ptCount val="50"/>
                <c:pt idx="0">
                  <c:v>12614.150182789359</c:v>
                </c:pt>
                <c:pt idx="1">
                  <c:v>8.1420238556381435</c:v>
                </c:pt>
                <c:pt idx="2">
                  <c:v>8.7289367899634769</c:v>
                </c:pt>
                <c:pt idx="3">
                  <c:v>8.0190990899473427</c:v>
                </c:pt>
                <c:pt idx="4">
                  <c:v>6.9641430468611176</c:v>
                </c:pt>
                <c:pt idx="5">
                  <c:v>5.8635428413547732</c:v>
                </c:pt>
                <c:pt idx="6">
                  <c:v>4.8294265199933673</c:v>
                </c:pt>
                <c:pt idx="7">
                  <c:v>3.9037569603088906</c:v>
                </c:pt>
                <c:pt idx="8">
                  <c:v>3.0980693127784158</c:v>
                </c:pt>
                <c:pt idx="9">
                  <c:v>2.4097731529453421</c:v>
                </c:pt>
                <c:pt idx="10">
                  <c:v>1.8297582260771124</c:v>
                </c:pt>
                <c:pt idx="11">
                  <c:v>1.3462456385716721</c:v>
                </c:pt>
                <c:pt idx="12">
                  <c:v>0.94681918684073962</c:v>
                </c:pt>
                <c:pt idx="13">
                  <c:v>0.61949652351645978</c:v>
                </c:pt>
                <c:pt idx="14">
                  <c:v>0.35326488415020929</c:v>
                </c:pt>
                <c:pt idx="15">
                  <c:v>0.13830983357284121</c:v>
                </c:pt>
                <c:pt idx="16">
                  <c:v>-3.3932192606734191E-2</c:v>
                </c:pt>
                <c:pt idx="17">
                  <c:v>-0.17081969061123303</c:v>
                </c:pt>
                <c:pt idx="18">
                  <c:v>-0.27860301323955039</c:v>
                </c:pt>
                <c:pt idx="19">
                  <c:v>-0.36254377693995177</c:v>
                </c:pt>
                <c:pt idx="20">
                  <c:v>-0.42703969276189796</c:v>
                </c:pt>
                <c:pt idx="21">
                  <c:v>-0.47574506221128754</c:v>
                </c:pt>
                <c:pt idx="22">
                  <c:v>-0.51168177075147214</c:v>
                </c:pt>
                <c:pt idx="23">
                  <c:v>-0.53733846066466162</c:v>
                </c:pt>
                <c:pt idx="24">
                  <c:v>-0.55475728614845909</c:v>
                </c:pt>
                <c:pt idx="25">
                  <c:v>-0.56560864758822471</c:v>
                </c:pt>
                <c:pt idx="26">
                  <c:v>-0.57125483266011323</c:v>
                </c:pt>
                <c:pt idx="27">
                  <c:v>-0.57280373307362575</c:v>
                </c:pt>
                <c:pt idx="28">
                  <c:v>-0.57115387128038053</c:v>
                </c:pt>
                <c:pt idx="29">
                  <c:v>-0.56703193527227103</c:v>
                </c:pt>
                <c:pt idx="30">
                  <c:v>-0.56102392889609431</c:v>
                </c:pt>
                <c:pt idx="31">
                  <c:v>-0.5536009294567803</c:v>
                </c:pt>
                <c:pt idx="32">
                  <c:v>-0.54514032168115845</c:v>
                </c:pt>
                <c:pt idx="33">
                  <c:v>-0.53594325774492035</c:v>
                </c:pt>
                <c:pt idx="34">
                  <c:v>-0.52624898259114672</c:v>
                </c:pt>
                <c:pt idx="35">
                  <c:v>-0.51624656475217656</c:v>
                </c:pt>
                <c:pt idx="36">
                  <c:v>-0.50608448606972356</c:v>
                </c:pt>
                <c:pt idx="37">
                  <c:v>-0.49587846878046093</c:v>
                </c:pt>
                <c:pt idx="38">
                  <c:v>-0.48571785452172656</c:v>
                </c:pt>
                <c:pt idx="39">
                  <c:v>-0.47567079577676202</c:v>
                </c:pt>
                <c:pt idx="40">
                  <c:v>-0.46578847490980047</c:v>
                </c:pt>
                <c:pt idx="41">
                  <c:v>-0.45610852805272489</c:v>
                </c:pt>
                <c:pt idx="42">
                  <c:v>-0.44665781960072015</c:v>
                </c:pt>
                <c:pt idx="43">
                  <c:v>-0.4374546869685666</c:v>
                </c:pt>
                <c:pt idx="44">
                  <c:v>-0.42851075368841063</c:v>
                </c:pt>
                <c:pt idx="45">
                  <c:v>-0.41983239114684051</c:v>
                </c:pt>
                <c:pt idx="46">
                  <c:v>-0.41142189462780271</c:v>
                </c:pt>
                <c:pt idx="47">
                  <c:v>-0.40327842730804264</c:v>
                </c:pt>
                <c:pt idx="48">
                  <c:v>-0.39539877599209416</c:v>
                </c:pt>
                <c:pt idx="49">
                  <c:v>-0.38777795429425765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39104"/>
        <c:axId val="177841280"/>
      </c:scatterChart>
      <c:valAx>
        <c:axId val="177839104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nm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7841280"/>
        <c:crosses val="autoZero"/>
        <c:crossBetween val="midCat"/>
      </c:valAx>
      <c:valAx>
        <c:axId val="177841280"/>
        <c:scaling>
          <c:orientation val="minMax"/>
          <c:max val="30"/>
          <c:min val="-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 in units of kbT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783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471880888306681"/>
          <c:y val="0.30311358002771166"/>
          <c:w val="0.12595293657126511"/>
          <c:h val="0.278332439000815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Ostwald Ripening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Ostwald!$M$7:$M$31</c:f>
              <c:numCache>
                <c:formatCode>General</c:formatCode>
                <c:ptCount val="2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</c:numCache>
            </c:numRef>
          </c:xVal>
          <c:yVal>
            <c:numRef>
              <c:f>Ostwald!$N$7:$N$31</c:f>
              <c:numCache>
                <c:formatCode>0</c:formatCode>
                <c:ptCount val="25"/>
                <c:pt idx="0" formatCode="General">
                  <c:v>100</c:v>
                </c:pt>
                <c:pt idx="1">
                  <c:v>403.8133396485976</c:v>
                </c:pt>
                <c:pt idx="2">
                  <c:v>507.4645806137143</c:v>
                </c:pt>
                <c:pt idx="3">
                  <c:v>580.3976569148258</c:v>
                </c:pt>
                <c:pt idx="4">
                  <c:v>638.5306122679367</c:v>
                </c:pt>
                <c:pt idx="5">
                  <c:v>687.65421654473528</c:v>
                </c:pt>
                <c:pt idx="6">
                  <c:v>730.61181614326313</c:v>
                </c:pt>
                <c:pt idx="7">
                  <c:v>769.03622775818508</c:v>
                </c:pt>
                <c:pt idx="8">
                  <c:v>803.96206831465054</c:v>
                </c:pt>
                <c:pt idx="9">
                  <c:v>836.0911181391823</c:v>
                </c:pt>
                <c:pt idx="10">
                  <c:v>865.92386494779282</c:v>
                </c:pt>
                <c:pt idx="11">
                  <c:v>893.83125663675662</c:v>
                </c:pt>
                <c:pt idx="12">
                  <c:v>920.09676029875891</c:v>
                </c:pt>
                <c:pt idx="13">
                  <c:v>944.94244343232435</c:v>
                </c:pt>
                <c:pt idx="14">
                  <c:v>968.54589721833599</c:v>
                </c:pt>
                <c:pt idx="15">
                  <c:v>991.05163527375339</c:v>
                </c:pt>
                <c:pt idx="16">
                  <c:v>1012.5790155764244</c:v>
                </c:pt>
                <c:pt idx="17">
                  <c:v>1033.2278948019077</c:v>
                </c:pt>
                <c:pt idx="18">
                  <c:v>1053.0827579620725</c:v>
                </c:pt>
                <c:pt idx="19">
                  <c:v>1072.2157954664222</c:v>
                </c:pt>
                <c:pt idx="20">
                  <c:v>1090.6892365999629</c:v>
                </c:pt>
                <c:pt idx="21">
                  <c:v>1108.5571469252625</c:v>
                </c:pt>
                <c:pt idx="22">
                  <c:v>1125.8668321710006</c:v>
                </c:pt>
                <c:pt idx="23">
                  <c:v>1142.6599485563327</c:v>
                </c:pt>
                <c:pt idx="24">
                  <c:v>1158.9733909095523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97024"/>
        <c:axId val="178498944"/>
      </c:scatterChart>
      <c:valAx>
        <c:axId val="17849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Time, 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498944"/>
        <c:crosses val="autoZero"/>
        <c:crossBetween val="midCat"/>
      </c:valAx>
      <c:valAx>
        <c:axId val="178498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497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Size v S/So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Ostwald!$C$13</c:f>
              <c:strCache>
                <c:ptCount val="1"/>
                <c:pt idx="0">
                  <c:v>S/S0</c:v>
                </c:pt>
              </c:strCache>
            </c:strRef>
          </c:tx>
          <c:marker>
            <c:symbol val="none"/>
          </c:marker>
          <c:xVal>
            <c:numRef>
              <c:f>Ostwald!$B$14:$B$35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Ostwald!$C$14:$C$35</c:f>
              <c:numCache>
                <c:formatCode>General</c:formatCode>
                <c:ptCount val="22"/>
                <c:pt idx="0">
                  <c:v>3196.1790583815482</c:v>
                </c:pt>
                <c:pt idx="1">
                  <c:v>56.534759735772717</c:v>
                </c:pt>
                <c:pt idx="2">
                  <c:v>5.022572568174235</c:v>
                </c:pt>
                <c:pt idx="3">
                  <c:v>2.2411096733926779</c:v>
                </c:pt>
                <c:pt idx="4">
                  <c:v>1.7125453206311883</c:v>
                </c:pt>
                <c:pt idx="5">
                  <c:v>1.4970336246700264</c:v>
                </c:pt>
                <c:pt idx="6">
                  <c:v>1.380973179606132</c:v>
                </c:pt>
                <c:pt idx="7">
                  <c:v>1.308642548838753</c:v>
                </c:pt>
                <c:pt idx="8">
                  <c:v>1.2593090290354476</c:v>
                </c:pt>
                <c:pt idx="9">
                  <c:v>1.2235332544193585</c:v>
                </c:pt>
                <c:pt idx="10">
                  <c:v>1.1964118093578799</c:v>
                </c:pt>
                <c:pt idx="11">
                  <c:v>1.1751481521944933</c:v>
                </c:pt>
                <c:pt idx="12">
                  <c:v>1.1580320134114368</c:v>
                </c:pt>
                <c:pt idx="13">
                  <c:v>1.1439591552318435</c:v>
                </c:pt>
                <c:pt idx="14">
                  <c:v>1.132185012571491</c:v>
                </c:pt>
                <c:pt idx="15">
                  <c:v>1.1221893908941787</c:v>
                </c:pt>
                <c:pt idx="16">
                  <c:v>1.1135979292440445</c:v>
                </c:pt>
                <c:pt idx="17">
                  <c:v>1.1061343744859204</c:v>
                </c:pt>
                <c:pt idx="18">
                  <c:v>1.0995904368828964</c:v>
                </c:pt>
                <c:pt idx="19">
                  <c:v>1.0938061114100066</c:v>
                </c:pt>
                <c:pt idx="20">
                  <c:v>1.0886564592896495</c:v>
                </c:pt>
                <c:pt idx="21">
                  <c:v>1.0840425047914373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28640"/>
        <c:axId val="178530560"/>
      </c:scatterChart>
      <c:valAx>
        <c:axId val="1785286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530560"/>
        <c:crosses val="autoZero"/>
        <c:crossBetween val="midCat"/>
      </c:valAx>
      <c:valAx>
        <c:axId val="178530560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S/So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52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Grinding Energy v Particle Size (Hukki 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Milling!$F$12:$F$62</c:f>
              <c:numCache>
                <c:formatCode>0</c:formatCode>
                <c:ptCount val="51"/>
                <c:pt idx="0">
                  <c:v>1000</c:v>
                </c:pt>
                <c:pt idx="1">
                  <c:v>981.99999999999989</c:v>
                </c:pt>
                <c:pt idx="2">
                  <c:v>963.99999999999977</c:v>
                </c:pt>
                <c:pt idx="3">
                  <c:v>945.99999999999977</c:v>
                </c:pt>
                <c:pt idx="4">
                  <c:v>927.99999999999989</c:v>
                </c:pt>
                <c:pt idx="5">
                  <c:v>909.99999999999989</c:v>
                </c:pt>
                <c:pt idx="6">
                  <c:v>891.99999999999989</c:v>
                </c:pt>
                <c:pt idx="7">
                  <c:v>873.99999999999989</c:v>
                </c:pt>
                <c:pt idx="8">
                  <c:v>855.99999999999989</c:v>
                </c:pt>
                <c:pt idx="9">
                  <c:v>838</c:v>
                </c:pt>
                <c:pt idx="10">
                  <c:v>820</c:v>
                </c:pt>
                <c:pt idx="11">
                  <c:v>802</c:v>
                </c:pt>
                <c:pt idx="12">
                  <c:v>784</c:v>
                </c:pt>
                <c:pt idx="13">
                  <c:v>766</c:v>
                </c:pt>
                <c:pt idx="14">
                  <c:v>748.00000000000011</c:v>
                </c:pt>
                <c:pt idx="15">
                  <c:v>730.00000000000011</c:v>
                </c:pt>
                <c:pt idx="16">
                  <c:v>712.00000000000011</c:v>
                </c:pt>
                <c:pt idx="17">
                  <c:v>694.00000000000011</c:v>
                </c:pt>
                <c:pt idx="18">
                  <c:v>676.00000000000023</c:v>
                </c:pt>
                <c:pt idx="19">
                  <c:v>658.00000000000023</c:v>
                </c:pt>
                <c:pt idx="20">
                  <c:v>640.00000000000023</c:v>
                </c:pt>
                <c:pt idx="21">
                  <c:v>622.00000000000023</c:v>
                </c:pt>
                <c:pt idx="22">
                  <c:v>604.00000000000023</c:v>
                </c:pt>
                <c:pt idx="23">
                  <c:v>586.00000000000034</c:v>
                </c:pt>
                <c:pt idx="24">
                  <c:v>568.00000000000034</c:v>
                </c:pt>
                <c:pt idx="25">
                  <c:v>550.00000000000034</c:v>
                </c:pt>
                <c:pt idx="26">
                  <c:v>532.00000000000034</c:v>
                </c:pt>
                <c:pt idx="27">
                  <c:v>514.00000000000034</c:v>
                </c:pt>
                <c:pt idx="28">
                  <c:v>496.0000000000004</c:v>
                </c:pt>
                <c:pt idx="29">
                  <c:v>478.00000000000045</c:v>
                </c:pt>
                <c:pt idx="30">
                  <c:v>460.00000000000045</c:v>
                </c:pt>
                <c:pt idx="31">
                  <c:v>442.00000000000051</c:v>
                </c:pt>
                <c:pt idx="32">
                  <c:v>424.00000000000051</c:v>
                </c:pt>
                <c:pt idx="33">
                  <c:v>406.00000000000051</c:v>
                </c:pt>
                <c:pt idx="34">
                  <c:v>388.00000000000057</c:v>
                </c:pt>
                <c:pt idx="35">
                  <c:v>370.00000000000057</c:v>
                </c:pt>
                <c:pt idx="36">
                  <c:v>352.00000000000063</c:v>
                </c:pt>
                <c:pt idx="37">
                  <c:v>334.00000000000063</c:v>
                </c:pt>
                <c:pt idx="38">
                  <c:v>316.00000000000068</c:v>
                </c:pt>
                <c:pt idx="39">
                  <c:v>298.00000000000068</c:v>
                </c:pt>
                <c:pt idx="40">
                  <c:v>280.00000000000068</c:v>
                </c:pt>
                <c:pt idx="41">
                  <c:v>262.00000000000074</c:v>
                </c:pt>
                <c:pt idx="42">
                  <c:v>244.00000000000077</c:v>
                </c:pt>
                <c:pt idx="43">
                  <c:v>226.00000000000074</c:v>
                </c:pt>
                <c:pt idx="44">
                  <c:v>208.00000000000074</c:v>
                </c:pt>
                <c:pt idx="45">
                  <c:v>190.00000000000074</c:v>
                </c:pt>
                <c:pt idx="46">
                  <c:v>172.00000000000074</c:v>
                </c:pt>
                <c:pt idx="47">
                  <c:v>154.00000000000074</c:v>
                </c:pt>
                <c:pt idx="48">
                  <c:v>136.00000000000074</c:v>
                </c:pt>
                <c:pt idx="49">
                  <c:v>118.00000000000074</c:v>
                </c:pt>
                <c:pt idx="50">
                  <c:v>100.00000000000074</c:v>
                </c:pt>
              </c:numCache>
            </c:numRef>
          </c:xVal>
          <c:yVal>
            <c:numRef>
              <c:f>Milling!$H$12:$H$62</c:f>
              <c:numCache>
                <c:formatCode>0.00E+00</c:formatCode>
                <c:ptCount val="51"/>
                <c:pt idx="0">
                  <c:v>18000</c:v>
                </c:pt>
                <c:pt idx="1">
                  <c:v>18665.92556028887</c:v>
                </c:pt>
                <c:pt idx="2">
                  <c:v>19369.501213822085</c:v>
                </c:pt>
                <c:pt idx="3">
                  <c:v>20113.619602286701</c:v>
                </c:pt>
                <c:pt idx="4">
                  <c:v>20901.456599286572</c:v>
                </c:pt>
                <c:pt idx="5">
                  <c:v>21736.505252988773</c:v>
                </c:pt>
                <c:pt idx="6">
                  <c:v>22622.614570974685</c:v>
                </c:pt>
                <c:pt idx="7">
                  <c:v>23564.033953154703</c:v>
                </c:pt>
                <c:pt idx="8">
                  <c:v>24565.464232684077</c:v>
                </c:pt>
                <c:pt idx="9">
                  <c:v>25632.116472337249</c:v>
                </c:pt>
                <c:pt idx="10">
                  <c:v>26769.77989292088</c:v>
                </c:pt>
                <c:pt idx="11">
                  <c:v>27984.900591414233</c:v>
                </c:pt>
                <c:pt idx="12">
                  <c:v>29284.673052894625</c:v>
                </c:pt>
                <c:pt idx="13">
                  <c:v>30677.146888996438</c:v>
                </c:pt>
                <c:pt idx="14">
                  <c:v>32171.351768709425</c:v>
                </c:pt>
                <c:pt idx="15">
                  <c:v>33777.444173390868</c:v>
                </c:pt>
                <c:pt idx="16">
                  <c:v>35506.880444388327</c:v>
                </c:pt>
                <c:pt idx="17">
                  <c:v>37372.621647883447</c:v>
                </c:pt>
                <c:pt idx="18">
                  <c:v>39389.377122649741</c:v>
                </c:pt>
                <c:pt idx="19">
                  <c:v>41573.895289215703</c:v>
                </c:pt>
                <c:pt idx="20">
                  <c:v>43945.312499999964</c:v>
                </c:pt>
                <c:pt idx="21">
                  <c:v>46525.573556931748</c:v>
                </c:pt>
                <c:pt idx="22">
                  <c:v>49339.941230647732</c:v>
                </c:pt>
                <c:pt idx="23">
                  <c:v>52417.616978648504</c:v>
                </c:pt>
                <c:pt idx="24">
                  <c:v>55792.501487799964</c:v>
                </c:pt>
                <c:pt idx="25">
                  <c:v>59504.132231404881</c:v>
                </c:pt>
                <c:pt idx="26">
                  <c:v>63598.84674091234</c:v>
                </c:pt>
                <c:pt idx="27">
                  <c:v>68131.235900619125</c:v>
                </c:pt>
                <c:pt idx="28">
                  <c:v>73165.972944848996</c:v>
                </c:pt>
                <c:pt idx="29">
                  <c:v>78780.133401025727</c:v>
                </c:pt>
                <c:pt idx="30">
                  <c:v>85066.162570888293</c:v>
                </c:pt>
                <c:pt idx="31">
                  <c:v>92135.705657132115</c:v>
                </c:pt>
                <c:pt idx="32">
                  <c:v>100124.59950160176</c:v>
                </c:pt>
                <c:pt idx="33">
                  <c:v>109199.44672280298</c:v>
                </c:pt>
                <c:pt idx="34">
                  <c:v>119566.37262195734</c:v>
                </c:pt>
                <c:pt idx="35">
                  <c:v>131482.83418553646</c:v>
                </c:pt>
                <c:pt idx="36">
                  <c:v>145273.76033057799</c:v>
                </c:pt>
                <c:pt idx="37">
                  <c:v>161353.93882892834</c:v>
                </c:pt>
                <c:pt idx="38">
                  <c:v>180259.57378625142</c:v>
                </c:pt>
                <c:pt idx="39">
                  <c:v>202693.57236160443</c:v>
                </c:pt>
                <c:pt idx="40">
                  <c:v>229591.83673469274</c:v>
                </c:pt>
                <c:pt idx="41">
                  <c:v>262222.48120738735</c:v>
                </c:pt>
                <c:pt idx="42">
                  <c:v>302338.08116097632</c:v>
                </c:pt>
                <c:pt idx="43">
                  <c:v>352416.00751820579</c:v>
                </c:pt>
                <c:pt idx="44">
                  <c:v>416050.29585798515</c:v>
                </c:pt>
                <c:pt idx="45">
                  <c:v>498614.95844874956</c:v>
                </c:pt>
                <c:pt idx="46">
                  <c:v>608436.99296916719</c:v>
                </c:pt>
                <c:pt idx="47">
                  <c:v>758981.27846179053</c:v>
                </c:pt>
                <c:pt idx="48">
                  <c:v>973183.39100344945</c:v>
                </c:pt>
                <c:pt idx="49">
                  <c:v>1292731.9735707967</c:v>
                </c:pt>
                <c:pt idx="50">
                  <c:v>1799999.9999999735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28960"/>
        <c:axId val="179118848"/>
      </c:scatterChart>
      <c:valAx>
        <c:axId val="17912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Particle Size nm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9118848"/>
        <c:crosses val="autoZero"/>
        <c:crossBetween val="midCat"/>
      </c:valAx>
      <c:valAx>
        <c:axId val="179118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Grinding Energy kJ/kg</a:t>
                </a:r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179128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Grinding Energy v Particle Size (Hukki 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Milling!$F$12:$F$62</c:f>
              <c:numCache>
                <c:formatCode>0</c:formatCode>
                <c:ptCount val="51"/>
                <c:pt idx="0">
                  <c:v>1000</c:v>
                </c:pt>
                <c:pt idx="1">
                  <c:v>981.99999999999989</c:v>
                </c:pt>
                <c:pt idx="2">
                  <c:v>963.99999999999977</c:v>
                </c:pt>
                <c:pt idx="3">
                  <c:v>945.99999999999977</c:v>
                </c:pt>
                <c:pt idx="4">
                  <c:v>927.99999999999989</c:v>
                </c:pt>
                <c:pt idx="5">
                  <c:v>909.99999999999989</c:v>
                </c:pt>
                <c:pt idx="6">
                  <c:v>891.99999999999989</c:v>
                </c:pt>
                <c:pt idx="7">
                  <c:v>873.99999999999989</c:v>
                </c:pt>
                <c:pt idx="8">
                  <c:v>855.99999999999989</c:v>
                </c:pt>
                <c:pt idx="9">
                  <c:v>838</c:v>
                </c:pt>
                <c:pt idx="10">
                  <c:v>820</c:v>
                </c:pt>
                <c:pt idx="11">
                  <c:v>802</c:v>
                </c:pt>
                <c:pt idx="12">
                  <c:v>784</c:v>
                </c:pt>
                <c:pt idx="13">
                  <c:v>766</c:v>
                </c:pt>
                <c:pt idx="14">
                  <c:v>748.00000000000011</c:v>
                </c:pt>
                <c:pt idx="15">
                  <c:v>730.00000000000011</c:v>
                </c:pt>
                <c:pt idx="16">
                  <c:v>712.00000000000011</c:v>
                </c:pt>
                <c:pt idx="17">
                  <c:v>694.00000000000011</c:v>
                </c:pt>
                <c:pt idx="18">
                  <c:v>676.00000000000023</c:v>
                </c:pt>
                <c:pt idx="19">
                  <c:v>658.00000000000023</c:v>
                </c:pt>
                <c:pt idx="20">
                  <c:v>640.00000000000023</c:v>
                </c:pt>
                <c:pt idx="21">
                  <c:v>622.00000000000023</c:v>
                </c:pt>
                <c:pt idx="22">
                  <c:v>604.00000000000023</c:v>
                </c:pt>
                <c:pt idx="23">
                  <c:v>586.00000000000034</c:v>
                </c:pt>
                <c:pt idx="24">
                  <c:v>568.00000000000034</c:v>
                </c:pt>
                <c:pt idx="25">
                  <c:v>550.00000000000034</c:v>
                </c:pt>
                <c:pt idx="26">
                  <c:v>532.00000000000034</c:v>
                </c:pt>
                <c:pt idx="27">
                  <c:v>514.00000000000034</c:v>
                </c:pt>
                <c:pt idx="28">
                  <c:v>496.0000000000004</c:v>
                </c:pt>
                <c:pt idx="29">
                  <c:v>478.00000000000045</c:v>
                </c:pt>
                <c:pt idx="30">
                  <c:v>460.00000000000045</c:v>
                </c:pt>
                <c:pt idx="31">
                  <c:v>442.00000000000051</c:v>
                </c:pt>
                <c:pt idx="32">
                  <c:v>424.00000000000051</c:v>
                </c:pt>
                <c:pt idx="33">
                  <c:v>406.00000000000051</c:v>
                </c:pt>
                <c:pt idx="34">
                  <c:v>388.00000000000057</c:v>
                </c:pt>
                <c:pt idx="35">
                  <c:v>370.00000000000057</c:v>
                </c:pt>
                <c:pt idx="36">
                  <c:v>352.00000000000063</c:v>
                </c:pt>
                <c:pt idx="37">
                  <c:v>334.00000000000063</c:v>
                </c:pt>
                <c:pt idx="38">
                  <c:v>316.00000000000068</c:v>
                </c:pt>
                <c:pt idx="39">
                  <c:v>298.00000000000068</c:v>
                </c:pt>
                <c:pt idx="40">
                  <c:v>280.00000000000068</c:v>
                </c:pt>
                <c:pt idx="41">
                  <c:v>262.00000000000074</c:v>
                </c:pt>
                <c:pt idx="42">
                  <c:v>244.00000000000077</c:v>
                </c:pt>
                <c:pt idx="43">
                  <c:v>226.00000000000074</c:v>
                </c:pt>
                <c:pt idx="44">
                  <c:v>208.00000000000074</c:v>
                </c:pt>
                <c:pt idx="45">
                  <c:v>190.00000000000074</c:v>
                </c:pt>
                <c:pt idx="46">
                  <c:v>172.00000000000074</c:v>
                </c:pt>
                <c:pt idx="47">
                  <c:v>154.00000000000074</c:v>
                </c:pt>
                <c:pt idx="48">
                  <c:v>136.00000000000074</c:v>
                </c:pt>
                <c:pt idx="49">
                  <c:v>118.00000000000074</c:v>
                </c:pt>
                <c:pt idx="50">
                  <c:v>100.00000000000074</c:v>
                </c:pt>
              </c:numCache>
            </c:numRef>
          </c:xVal>
          <c:yVal>
            <c:numRef>
              <c:f>Milling!$H$12:$H$62</c:f>
              <c:numCache>
                <c:formatCode>0.00E+00</c:formatCode>
                <c:ptCount val="51"/>
                <c:pt idx="0">
                  <c:v>18000</c:v>
                </c:pt>
                <c:pt idx="1">
                  <c:v>18665.92556028887</c:v>
                </c:pt>
                <c:pt idx="2">
                  <c:v>19369.501213822085</c:v>
                </c:pt>
                <c:pt idx="3">
                  <c:v>20113.619602286701</c:v>
                </c:pt>
                <c:pt idx="4">
                  <c:v>20901.456599286572</c:v>
                </c:pt>
                <c:pt idx="5">
                  <c:v>21736.505252988773</c:v>
                </c:pt>
                <c:pt idx="6">
                  <c:v>22622.614570974685</c:v>
                </c:pt>
                <c:pt idx="7">
                  <c:v>23564.033953154703</c:v>
                </c:pt>
                <c:pt idx="8">
                  <c:v>24565.464232684077</c:v>
                </c:pt>
                <c:pt idx="9">
                  <c:v>25632.116472337249</c:v>
                </c:pt>
                <c:pt idx="10">
                  <c:v>26769.77989292088</c:v>
                </c:pt>
                <c:pt idx="11">
                  <c:v>27984.900591414233</c:v>
                </c:pt>
                <c:pt idx="12">
                  <c:v>29284.673052894625</c:v>
                </c:pt>
                <c:pt idx="13">
                  <c:v>30677.146888996438</c:v>
                </c:pt>
                <c:pt idx="14">
                  <c:v>32171.351768709425</c:v>
                </c:pt>
                <c:pt idx="15">
                  <c:v>33777.444173390868</c:v>
                </c:pt>
                <c:pt idx="16">
                  <c:v>35506.880444388327</c:v>
                </c:pt>
                <c:pt idx="17">
                  <c:v>37372.621647883447</c:v>
                </c:pt>
                <c:pt idx="18">
                  <c:v>39389.377122649741</c:v>
                </c:pt>
                <c:pt idx="19">
                  <c:v>41573.895289215703</c:v>
                </c:pt>
                <c:pt idx="20">
                  <c:v>43945.312499999964</c:v>
                </c:pt>
                <c:pt idx="21">
                  <c:v>46525.573556931748</c:v>
                </c:pt>
                <c:pt idx="22">
                  <c:v>49339.941230647732</c:v>
                </c:pt>
                <c:pt idx="23">
                  <c:v>52417.616978648504</c:v>
                </c:pt>
                <c:pt idx="24">
                  <c:v>55792.501487799964</c:v>
                </c:pt>
                <c:pt idx="25">
                  <c:v>59504.132231404881</c:v>
                </c:pt>
                <c:pt idx="26">
                  <c:v>63598.84674091234</c:v>
                </c:pt>
                <c:pt idx="27">
                  <c:v>68131.235900619125</c:v>
                </c:pt>
                <c:pt idx="28">
                  <c:v>73165.972944848996</c:v>
                </c:pt>
                <c:pt idx="29">
                  <c:v>78780.133401025727</c:v>
                </c:pt>
                <c:pt idx="30">
                  <c:v>85066.162570888293</c:v>
                </c:pt>
                <c:pt idx="31">
                  <c:v>92135.705657132115</c:v>
                </c:pt>
                <c:pt idx="32">
                  <c:v>100124.59950160176</c:v>
                </c:pt>
                <c:pt idx="33">
                  <c:v>109199.44672280298</c:v>
                </c:pt>
                <c:pt idx="34">
                  <c:v>119566.37262195734</c:v>
                </c:pt>
                <c:pt idx="35">
                  <c:v>131482.83418553646</c:v>
                </c:pt>
                <c:pt idx="36">
                  <c:v>145273.76033057799</c:v>
                </c:pt>
                <c:pt idx="37">
                  <c:v>161353.93882892834</c:v>
                </c:pt>
                <c:pt idx="38">
                  <c:v>180259.57378625142</c:v>
                </c:pt>
                <c:pt idx="39">
                  <c:v>202693.57236160443</c:v>
                </c:pt>
                <c:pt idx="40">
                  <c:v>229591.83673469274</c:v>
                </c:pt>
                <c:pt idx="41">
                  <c:v>262222.48120738735</c:v>
                </c:pt>
                <c:pt idx="42">
                  <c:v>302338.08116097632</c:v>
                </c:pt>
                <c:pt idx="43">
                  <c:v>352416.00751820579</c:v>
                </c:pt>
                <c:pt idx="44">
                  <c:v>416050.29585798515</c:v>
                </c:pt>
                <c:pt idx="45">
                  <c:v>498614.95844874956</c:v>
                </c:pt>
                <c:pt idx="46">
                  <c:v>608436.99296916719</c:v>
                </c:pt>
                <c:pt idx="47">
                  <c:v>758981.27846179053</c:v>
                </c:pt>
                <c:pt idx="48">
                  <c:v>973183.39100344945</c:v>
                </c:pt>
                <c:pt idx="49">
                  <c:v>1292731.9735707967</c:v>
                </c:pt>
                <c:pt idx="50">
                  <c:v>1799999.9999999735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9424"/>
        <c:axId val="179161344"/>
      </c:scatterChart>
      <c:valAx>
        <c:axId val="1791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Particle Size nm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9161344"/>
        <c:crosses val="autoZero"/>
        <c:crossBetween val="midCat"/>
      </c:valAx>
      <c:valAx>
        <c:axId val="17916134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Grinding Energy kJ/kg</a:t>
                </a:r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179159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% Nanomaterial - fixed nano 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3673655661810652"/>
          <c:y val="3.7037037037037035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% by Vol.</c:v>
          </c:tx>
          <c:marker>
            <c:symbol val="none"/>
          </c:marker>
          <c:xVal>
            <c:numRef>
              <c:f>'Shell %'!$B$6:$B$16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6.0000000000000009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18.000000000000004</c:v>
                </c:pt>
                <c:pt idx="10">
                  <c:v>20.000000000000004</c:v>
                </c:pt>
              </c:numCache>
            </c:numRef>
          </c:xVal>
          <c:yVal>
            <c:numRef>
              <c:f>'Shell %'!$H$6:$H$16</c:f>
              <c:numCache>
                <c:formatCode>0%</c:formatCode>
                <c:ptCount val="11"/>
                <c:pt idx="0">
                  <c:v>1</c:v>
                </c:pt>
                <c:pt idx="1">
                  <c:v>0.75131480090157765</c:v>
                </c:pt>
                <c:pt idx="2">
                  <c:v>0.57870370370370383</c:v>
                </c:pt>
                <c:pt idx="3">
                  <c:v>0.45516613563950847</c:v>
                </c:pt>
                <c:pt idx="4">
                  <c:v>0.36443148688046656</c:v>
                </c:pt>
                <c:pt idx="5">
                  <c:v>0.29629629629629622</c:v>
                </c:pt>
                <c:pt idx="6">
                  <c:v>0.244140625</c:v>
                </c:pt>
                <c:pt idx="7">
                  <c:v>0.20354162426216163</c:v>
                </c:pt>
                <c:pt idx="8">
                  <c:v>0.1714677640603566</c:v>
                </c:pt>
                <c:pt idx="9">
                  <c:v>0.1457938474996355</c:v>
                </c:pt>
                <c:pt idx="10">
                  <c:v>0.125</c:v>
                </c:pt>
              </c:numCache>
            </c:numRef>
          </c:yVal>
          <c:smooth val="1"/>
        </c:ser>
        <c:ser>
          <c:idx val="1"/>
          <c:order val="1"/>
          <c:tx>
            <c:v>% by Mass</c:v>
          </c:tx>
          <c:marker>
            <c:symbol val="none"/>
          </c:marker>
          <c:xVal>
            <c:numRef>
              <c:f>'Shell %'!$B$6:$B$16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6.0000000000000009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18.000000000000004</c:v>
                </c:pt>
                <c:pt idx="10">
                  <c:v>20.000000000000004</c:v>
                </c:pt>
              </c:numCache>
            </c:numRef>
          </c:xVal>
          <c:yVal>
            <c:numRef>
              <c:f>'Shell %'!$I$6:$I$16</c:f>
              <c:numCache>
                <c:formatCode>0%</c:formatCode>
                <c:ptCount val="11"/>
                <c:pt idx="0">
                  <c:v>1</c:v>
                </c:pt>
                <c:pt idx="1">
                  <c:v>0.8830801836806782</c:v>
                </c:pt>
                <c:pt idx="2">
                  <c:v>0.77447335811648099</c:v>
                </c:pt>
                <c:pt idx="3">
                  <c:v>0.67622396537733309</c:v>
                </c:pt>
                <c:pt idx="4">
                  <c:v>0.58906691800188504</c:v>
                </c:pt>
                <c:pt idx="5">
                  <c:v>0.51282051282051277</c:v>
                </c:pt>
                <c:pt idx="6">
                  <c:v>0.44674767691208006</c:v>
                </c:pt>
                <c:pt idx="7">
                  <c:v>0.38983315141119607</c:v>
                </c:pt>
                <c:pt idx="8">
                  <c:v>0.34097108565193668</c:v>
                </c:pt>
                <c:pt idx="9">
                  <c:v>0.29907883718148098</c:v>
                </c:pt>
                <c:pt idx="10">
                  <c:v>0.26315789473684215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17472"/>
        <c:axId val="166069760"/>
      </c:scatterChart>
      <c:valAx>
        <c:axId val="2050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 of Shell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069760"/>
        <c:crosses val="autoZero"/>
        <c:crossBetween val="midCat"/>
      </c:valAx>
      <c:valAx>
        <c:axId val="166069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5017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Schilde Grinding Equation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Dissolver</c:v>
          </c:tx>
          <c:marker>
            <c:symbol val="none"/>
          </c:marker>
          <c:xVal>
            <c:numRef>
              <c:f>Grinding!$B$10:$B$38</c:f>
              <c:numCache>
                <c:formatCode>General</c:formatCode>
                <c:ptCount val="29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  <c:pt idx="19">
                  <c:v>6000</c:v>
                </c:pt>
                <c:pt idx="20">
                  <c:v>7000</c:v>
                </c:pt>
                <c:pt idx="21">
                  <c:v>8000</c:v>
                </c:pt>
                <c:pt idx="22">
                  <c:v>9000</c:v>
                </c:pt>
                <c:pt idx="23">
                  <c:v>10000</c:v>
                </c:pt>
                <c:pt idx="24">
                  <c:v>11000</c:v>
                </c:pt>
                <c:pt idx="25">
                  <c:v>12000</c:v>
                </c:pt>
                <c:pt idx="26">
                  <c:v>13000</c:v>
                </c:pt>
                <c:pt idx="27">
                  <c:v>14000</c:v>
                </c:pt>
                <c:pt idx="28">
                  <c:v>15000</c:v>
                </c:pt>
              </c:numCache>
            </c:numRef>
          </c:xVal>
          <c:yVal>
            <c:numRef>
              <c:f>Grinding!$C$10:$C$38</c:f>
              <c:numCache>
                <c:formatCode>0</c:formatCode>
                <c:ptCount val="29"/>
                <c:pt idx="0">
                  <c:v>205</c:v>
                </c:pt>
                <c:pt idx="1">
                  <c:v>180.31234382808594</c:v>
                </c:pt>
                <c:pt idx="2">
                  <c:v>172.07764078640452</c:v>
                </c:pt>
                <c:pt idx="3">
                  <c:v>167.95926018495376</c:v>
                </c:pt>
                <c:pt idx="4">
                  <c:v>165.4879024195161</c:v>
                </c:pt>
                <c:pt idx="5">
                  <c:v>163.84019330111647</c:v>
                </c:pt>
                <c:pt idx="6">
                  <c:v>162.66319097271818</c:v>
                </c:pt>
                <c:pt idx="7">
                  <c:v>161.78040244969378</c:v>
                </c:pt>
                <c:pt idx="8">
                  <c:v>161.09376735918232</c:v>
                </c:pt>
                <c:pt idx="9">
                  <c:v>160.54444555544444</c:v>
                </c:pt>
                <c:pt idx="10">
                  <c:v>160.09499136442139</c:v>
                </c:pt>
                <c:pt idx="11">
                  <c:v>158.69039435035307</c:v>
                </c:pt>
                <c:pt idx="12">
                  <c:v>157.95462120851386</c:v>
                </c:pt>
                <c:pt idx="13">
                  <c:v>157.50182685281334</c:v>
                </c:pt>
                <c:pt idx="14">
                  <c:v>157.19509048095222</c:v>
                </c:pt>
                <c:pt idx="15">
                  <c:v>156.97355629010303</c:v>
                </c:pt>
                <c:pt idx="16">
                  <c:v>156.80605351088997</c:v>
                </c:pt>
                <c:pt idx="17">
                  <c:v>156.6749635877481</c:v>
                </c:pt>
                <c:pt idx="18">
                  <c:v>156.56957706711631</c:v>
                </c:pt>
                <c:pt idx="19">
                  <c:v>156.41063261258012</c:v>
                </c:pt>
                <c:pt idx="20">
                  <c:v>156.29646061323081</c:v>
                </c:pt>
                <c:pt idx="21">
                  <c:v>156.21047888297676</c:v>
                </c:pt>
                <c:pt idx="22">
                  <c:v>156.14339402863703</c:v>
                </c:pt>
                <c:pt idx="23">
                  <c:v>156.08959317234482</c:v>
                </c:pt>
                <c:pt idx="24">
                  <c:v>156.04548607670199</c:v>
                </c:pt>
                <c:pt idx="25">
                  <c:v>156.00866934984009</c:v>
                </c:pt>
                <c:pt idx="26">
                  <c:v>155.97747345440109</c:v>
                </c:pt>
                <c:pt idx="27">
                  <c:v>155.95070247728739</c:v>
                </c:pt>
                <c:pt idx="28">
                  <c:v>155.92747730147482</c:v>
                </c:pt>
              </c:numCache>
            </c:numRef>
          </c:yVal>
          <c:smooth val="1"/>
        </c:ser>
        <c:ser>
          <c:idx val="1"/>
          <c:order val="1"/>
          <c:tx>
            <c:v>Kneader</c:v>
          </c:tx>
          <c:spPr>
            <a:ln>
              <a:prstDash val="dashDot"/>
            </a:ln>
          </c:spPr>
          <c:marker>
            <c:symbol val="none"/>
          </c:marker>
          <c:xVal>
            <c:numRef>
              <c:f>Grinding!$B$10:$B$38</c:f>
              <c:numCache>
                <c:formatCode>General</c:formatCode>
                <c:ptCount val="29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  <c:pt idx="19">
                  <c:v>6000</c:v>
                </c:pt>
                <c:pt idx="20">
                  <c:v>7000</c:v>
                </c:pt>
                <c:pt idx="21">
                  <c:v>8000</c:v>
                </c:pt>
                <c:pt idx="22">
                  <c:v>9000</c:v>
                </c:pt>
                <c:pt idx="23">
                  <c:v>10000</c:v>
                </c:pt>
                <c:pt idx="24">
                  <c:v>11000</c:v>
                </c:pt>
                <c:pt idx="25">
                  <c:v>12000</c:v>
                </c:pt>
                <c:pt idx="26">
                  <c:v>13000</c:v>
                </c:pt>
                <c:pt idx="27">
                  <c:v>14000</c:v>
                </c:pt>
                <c:pt idx="28">
                  <c:v>15000</c:v>
                </c:pt>
              </c:numCache>
            </c:numRef>
          </c:xVal>
          <c:yVal>
            <c:numRef>
              <c:f>Grinding!$D$10:$D$38</c:f>
              <c:numCache>
                <c:formatCode>0</c:formatCode>
                <c:ptCount val="29"/>
                <c:pt idx="0">
                  <c:v>134</c:v>
                </c:pt>
                <c:pt idx="1">
                  <c:v>128.78714161598609</c:v>
                </c:pt>
                <c:pt idx="2">
                  <c:v>126.73167777104786</c:v>
                </c:pt>
                <c:pt idx="3">
                  <c:v>125.63179916317992</c:v>
                </c:pt>
                <c:pt idx="4">
                  <c:v>124.94681252357601</c:v>
                </c:pt>
                <c:pt idx="5">
                  <c:v>124.47921294827039</c:v>
                </c:pt>
                <c:pt idx="6">
                  <c:v>124.13968775677897</c:v>
                </c:pt>
                <c:pt idx="7">
                  <c:v>123.88195615514334</c:v>
                </c:pt>
                <c:pt idx="8">
                  <c:v>123.67963878735756</c:v>
                </c:pt>
                <c:pt idx="9">
                  <c:v>123.51659871869541</c:v>
                </c:pt>
                <c:pt idx="10">
                  <c:v>123.38241019288621</c:v>
                </c:pt>
                <c:pt idx="11">
                  <c:v>122.95841001104159</c:v>
                </c:pt>
                <c:pt idx="12">
                  <c:v>122.73345225800394</c:v>
                </c:pt>
                <c:pt idx="13">
                  <c:v>122.59402326819253</c:v>
                </c:pt>
                <c:pt idx="14">
                  <c:v>122.49913743530765</c:v>
                </c:pt>
                <c:pt idx="15">
                  <c:v>122.43038951021983</c:v>
                </c:pt>
                <c:pt idx="16">
                  <c:v>122.37828676577405</c:v>
                </c:pt>
                <c:pt idx="17">
                  <c:v>122.33743682778282</c:v>
                </c:pt>
                <c:pt idx="18">
                  <c:v>122.30454953023273</c:v>
                </c:pt>
                <c:pt idx="19">
                  <c:v>122.25486933542136</c:v>
                </c:pt>
                <c:pt idx="20">
                  <c:v>122.21912428823876</c:v>
                </c:pt>
                <c:pt idx="21">
                  <c:v>122.19217239428305</c:v>
                </c:pt>
                <c:pt idx="22">
                  <c:v>122.17112440034172</c:v>
                </c:pt>
                <c:pt idx="23">
                  <c:v>122.15423190065349</c:v>
                </c:pt>
                <c:pt idx="24">
                  <c:v>122.1403748360317</c:v>
                </c:pt>
                <c:pt idx="25">
                  <c:v>122.12880249295148</c:v>
                </c:pt>
                <c:pt idx="26">
                  <c:v>122.11899285616366</c:v>
                </c:pt>
                <c:pt idx="27">
                  <c:v>122.11057168334489</c:v>
                </c:pt>
                <c:pt idx="28">
                  <c:v>122.10326367133283</c:v>
                </c:pt>
              </c:numCache>
            </c:numRef>
          </c:yVal>
          <c:smooth val="1"/>
        </c:ser>
        <c:ser>
          <c:idx val="2"/>
          <c:order val="2"/>
          <c:tx>
            <c:v>Stirred media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Grinding!$B$10:$B$38</c:f>
              <c:numCache>
                <c:formatCode>General</c:formatCode>
                <c:ptCount val="29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  <c:pt idx="19">
                  <c:v>6000</c:v>
                </c:pt>
                <c:pt idx="20">
                  <c:v>7000</c:v>
                </c:pt>
                <c:pt idx="21">
                  <c:v>8000</c:v>
                </c:pt>
                <c:pt idx="22">
                  <c:v>9000</c:v>
                </c:pt>
                <c:pt idx="23">
                  <c:v>10000</c:v>
                </c:pt>
                <c:pt idx="24">
                  <c:v>11000</c:v>
                </c:pt>
                <c:pt idx="25">
                  <c:v>12000</c:v>
                </c:pt>
                <c:pt idx="26">
                  <c:v>13000</c:v>
                </c:pt>
                <c:pt idx="27">
                  <c:v>14000</c:v>
                </c:pt>
                <c:pt idx="28">
                  <c:v>15000</c:v>
                </c:pt>
              </c:numCache>
            </c:numRef>
          </c:xVal>
          <c:yVal>
            <c:numRef>
              <c:f>Grinding!$E$10:$E$38</c:f>
              <c:numCache>
                <c:formatCode>0</c:formatCode>
                <c:ptCount val="29"/>
                <c:pt idx="0">
                  <c:v>204</c:v>
                </c:pt>
                <c:pt idx="1">
                  <c:v>196.9653068143293</c:v>
                </c:pt>
                <c:pt idx="2">
                  <c:v>190.68306770777622</c:v>
                </c:pt>
                <c:pt idx="3">
                  <c:v>185.03868413036855</c:v>
                </c:pt>
                <c:pt idx="4">
                  <c:v>179.93970431925791</c:v>
                </c:pt>
                <c:pt idx="5">
                  <c:v>175.31071988201677</c:v>
                </c:pt>
                <c:pt idx="6">
                  <c:v>171.08961141950834</c:v>
                </c:pt>
                <c:pt idx="7">
                  <c:v>167.22474470419445</c:v>
                </c:pt>
                <c:pt idx="8">
                  <c:v>163.67284800388694</c:v>
                </c:pt>
                <c:pt idx="9">
                  <c:v>160.39738501050667</c:v>
                </c:pt>
                <c:pt idx="10">
                  <c:v>157.36729343021949</c:v>
                </c:pt>
                <c:pt idx="11">
                  <c:v>145.08461101646793</c:v>
                </c:pt>
                <c:pt idx="12">
                  <c:v>136.14889094773559</c:v>
                </c:pt>
                <c:pt idx="13">
                  <c:v>129.35613218859419</c:v>
                </c:pt>
                <c:pt idx="14">
                  <c:v>124.01798792239497</c:v>
                </c:pt>
                <c:pt idx="15">
                  <c:v>119.71240666950366</c:v>
                </c:pt>
                <c:pt idx="16">
                  <c:v>116.16621397580163</c:v>
                </c:pt>
                <c:pt idx="17">
                  <c:v>113.19478751337159</c:v>
                </c:pt>
                <c:pt idx="18">
                  <c:v>110.66886563315242</c:v>
                </c:pt>
                <c:pt idx="19">
                  <c:v>106.60502229523587</c:v>
                </c:pt>
                <c:pt idx="20">
                  <c:v>103.47865002652887</c:v>
                </c:pt>
                <c:pt idx="21">
                  <c:v>100.99890380359469</c:v>
                </c:pt>
                <c:pt idx="22">
                  <c:v>98.983973457796765</c:v>
                </c:pt>
                <c:pt idx="23">
                  <c:v>97.314366998577512</c:v>
                </c:pt>
                <c:pt idx="24">
                  <c:v>95.908317416218082</c:v>
                </c:pt>
                <c:pt idx="25">
                  <c:v>94.707984023175172</c:v>
                </c:pt>
                <c:pt idx="26">
                  <c:v>93.671297495535043</c:v>
                </c:pt>
                <c:pt idx="27">
                  <c:v>92.766927465570717</c:v>
                </c:pt>
                <c:pt idx="28">
                  <c:v>91.971061440449191</c:v>
                </c:pt>
              </c:numCache>
            </c:numRef>
          </c:yVal>
          <c:smooth val="1"/>
        </c:ser>
        <c:ser>
          <c:idx val="3"/>
          <c:order val="3"/>
          <c:tx>
            <c:v>3-roll</c:v>
          </c:tx>
          <c:spPr>
            <a:ln>
              <a:prstDash val="sysDot"/>
            </a:ln>
          </c:spPr>
          <c:marker>
            <c:symbol val="none"/>
          </c:marker>
          <c:xVal>
            <c:numRef>
              <c:f>Grinding!$B$10:$B$38</c:f>
              <c:numCache>
                <c:formatCode>General</c:formatCode>
                <c:ptCount val="29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  <c:pt idx="19">
                  <c:v>6000</c:v>
                </c:pt>
                <c:pt idx="20">
                  <c:v>7000</c:v>
                </c:pt>
                <c:pt idx="21">
                  <c:v>8000</c:v>
                </c:pt>
                <c:pt idx="22">
                  <c:v>9000</c:v>
                </c:pt>
                <c:pt idx="23">
                  <c:v>10000</c:v>
                </c:pt>
                <c:pt idx="24">
                  <c:v>11000</c:v>
                </c:pt>
                <c:pt idx="25">
                  <c:v>12000</c:v>
                </c:pt>
                <c:pt idx="26">
                  <c:v>13000</c:v>
                </c:pt>
                <c:pt idx="27">
                  <c:v>14000</c:v>
                </c:pt>
                <c:pt idx="28">
                  <c:v>15000</c:v>
                </c:pt>
              </c:numCache>
            </c:numRef>
          </c:xVal>
          <c:yVal>
            <c:numRef>
              <c:f>Grinding!$F$10:$F$38</c:f>
              <c:numCache>
                <c:formatCode>0</c:formatCode>
                <c:ptCount val="29"/>
                <c:pt idx="0">
                  <c:v>182</c:v>
                </c:pt>
                <c:pt idx="1">
                  <c:v>161.53795379537954</c:v>
                </c:pt>
                <c:pt idx="2">
                  <c:v>152.05634558626241</c:v>
                </c:pt>
                <c:pt idx="3">
                  <c:v>146.58641844721811</c:v>
                </c:pt>
                <c:pt idx="4">
                  <c:v>143.0267155578837</c:v>
                </c:pt>
                <c:pt idx="5">
                  <c:v>140.5253456221198</c:v>
                </c:pt>
                <c:pt idx="6">
                  <c:v>138.67141193218583</c:v>
                </c:pt>
                <c:pt idx="7">
                  <c:v>137.24235132347886</c:v>
                </c:pt>
                <c:pt idx="8">
                  <c:v>136.10712449881771</c:v>
                </c:pt>
                <c:pt idx="9">
                  <c:v>135.18355551412324</c:v>
                </c:pt>
                <c:pt idx="10">
                  <c:v>134.41749808135074</c:v>
                </c:pt>
                <c:pt idx="11">
                  <c:v>131.96114067077181</c:v>
                </c:pt>
                <c:pt idx="12">
                  <c:v>130.63533851889355</c:v>
                </c:pt>
                <c:pt idx="13">
                  <c:v>129.80558985295767</c:v>
                </c:pt>
                <c:pt idx="14">
                  <c:v>129.23736880259716</c:v>
                </c:pt>
                <c:pt idx="15">
                  <c:v>128.82386255343479</c:v>
                </c:pt>
                <c:pt idx="16">
                  <c:v>128.5094543101589</c:v>
                </c:pt>
                <c:pt idx="17">
                  <c:v>128.26233227042181</c:v>
                </c:pt>
                <c:pt idx="18">
                  <c:v>128.06298451485685</c:v>
                </c:pt>
                <c:pt idx="19">
                  <c:v>127.76117420253698</c:v>
                </c:pt>
                <c:pt idx="20">
                  <c:v>127.54351917687899</c:v>
                </c:pt>
                <c:pt idx="21">
                  <c:v>127.37912807272994</c:v>
                </c:pt>
                <c:pt idx="22">
                  <c:v>127.25058052699859</c:v>
                </c:pt>
                <c:pt idx="23">
                  <c:v>127.14730602494913</c:v>
                </c:pt>
                <c:pt idx="24">
                  <c:v>127.06251846017526</c:v>
                </c:pt>
                <c:pt idx="25">
                  <c:v>126.99166166914489</c:v>
                </c:pt>
                <c:pt idx="26">
                  <c:v>126.93156300530643</c:v>
                </c:pt>
                <c:pt idx="27">
                  <c:v>126.87994524684783</c:v>
                </c:pt>
                <c:pt idx="28">
                  <c:v>126.83513151910998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29824"/>
        <c:axId val="179231744"/>
      </c:scatterChart>
      <c:valAx>
        <c:axId val="179229824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9231744"/>
        <c:crosses val="autoZero"/>
        <c:crossBetween val="midCat"/>
      </c:valAx>
      <c:valAx>
        <c:axId val="179231744"/>
        <c:scaling>
          <c:orientation val="minMax"/>
          <c:max val="21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Particle Size nm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9229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Nanoindenter Pressure v Depth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Nanoindentation!$E$12:$E$62</c:f>
              <c:numCache>
                <c:formatCode>0</c:formatCode>
                <c:ptCount val="51"/>
                <c:pt idx="0">
                  <c:v>0</c:v>
                </c:pt>
                <c:pt idx="1">
                  <c:v>186.85397135616424</c:v>
                </c:pt>
                <c:pt idx="2">
                  <c:v>264.2514204751613</c:v>
                </c:pt>
                <c:pt idx="3">
                  <c:v>323.64057198489616</c:v>
                </c:pt>
                <c:pt idx="4">
                  <c:v>373.70794271232847</c:v>
                </c:pt>
                <c:pt idx="5">
                  <c:v>417.81818181818181</c:v>
                </c:pt>
                <c:pt idx="6">
                  <c:v>457.69688623522609</c:v>
                </c:pt>
                <c:pt idx="7">
                  <c:v>494.36913969319698</c:v>
                </c:pt>
                <c:pt idx="8">
                  <c:v>528.50284095032259</c:v>
                </c:pt>
                <c:pt idx="9">
                  <c:v>560.56191406849268</c:v>
                </c:pt>
                <c:pt idx="10">
                  <c:v>590.88413933334039</c:v>
                </c:pt>
                <c:pt idx="11">
                  <c:v>619.72451357621208</c:v>
                </c:pt>
                <c:pt idx="12">
                  <c:v>647.28114396979231</c:v>
                </c:pt>
                <c:pt idx="13">
                  <c:v>673.71157474872973</c:v>
                </c:pt>
                <c:pt idx="14">
                  <c:v>699.14354217283847</c:v>
                </c:pt>
                <c:pt idx="15">
                  <c:v>723.68231923514179</c:v>
                </c:pt>
                <c:pt idx="16">
                  <c:v>747.41588542465706</c:v>
                </c:pt>
                <c:pt idx="17">
                  <c:v>770.41866046760208</c:v>
                </c:pt>
                <c:pt idx="18">
                  <c:v>792.75426142548406</c:v>
                </c:pt>
                <c:pt idx="19">
                  <c:v>814.47757834076378</c:v>
                </c:pt>
                <c:pt idx="20">
                  <c:v>835.63636363636374</c:v>
                </c:pt>
                <c:pt idx="21">
                  <c:v>856.2724676427332</c:v>
                </c:pt>
                <c:pt idx="22">
                  <c:v>876.42281203454866</c:v>
                </c:pt>
                <c:pt idx="23">
                  <c:v>896.12016608606461</c:v>
                </c:pt>
                <c:pt idx="24">
                  <c:v>915.39377247045229</c:v>
                </c:pt>
                <c:pt idx="25">
                  <c:v>934.26985678082121</c:v>
                </c:pt>
                <c:pt idx="26">
                  <c:v>952.77204613738888</c:v>
                </c:pt>
                <c:pt idx="27">
                  <c:v>970.92171595468847</c:v>
                </c:pt>
                <c:pt idx="28">
                  <c:v>988.73827938639397</c:v>
                </c:pt>
                <c:pt idx="29">
                  <c:v>1006.2394306205343</c:v>
                </c:pt>
                <c:pt idx="30">
                  <c:v>1023.4413507119533</c:v>
                </c:pt>
                <c:pt idx="31">
                  <c:v>1040.358882770113</c:v>
                </c:pt>
                <c:pt idx="32">
                  <c:v>1057.0056819006452</c:v>
                </c:pt>
                <c:pt idx="33">
                  <c:v>1073.3943442099078</c:v>
                </c:pt>
                <c:pt idx="34">
                  <c:v>1089.5365183385952</c:v>
                </c:pt>
                <c:pt idx="35">
                  <c:v>1105.4430023320779</c:v>
                </c:pt>
                <c:pt idx="36">
                  <c:v>1121.1238281369854</c:v>
                </c:pt>
                <c:pt idx="37">
                  <c:v>1136.5883356026925</c:v>
                </c:pt>
                <c:pt idx="38">
                  <c:v>1151.8452375383029</c:v>
                </c:pt>
                <c:pt idx="39">
                  <c:v>1166.9026771120371</c:v>
                </c:pt>
                <c:pt idx="40">
                  <c:v>1181.7682786666805</c:v>
                </c:pt>
                <c:pt idx="41">
                  <c:v>1196.4491928512382</c:v>
                </c:pt>
                <c:pt idx="42">
                  <c:v>1210.95213682703</c:v>
                </c:pt>
                <c:pt idx="43">
                  <c:v>1225.2834301897337</c:v>
                </c:pt>
                <c:pt idx="44">
                  <c:v>1239.4490271524237</c:v>
                </c:pt>
                <c:pt idx="45">
                  <c:v>1253.454545454545</c:v>
                </c:pt>
                <c:pt idx="46">
                  <c:v>1267.3052923949424</c:v>
                </c:pt>
                <c:pt idx="47">
                  <c:v>1281.006288331092</c:v>
                </c:pt>
                <c:pt idx="48">
                  <c:v>1294.5622879395842</c:v>
                </c:pt>
                <c:pt idx="49">
                  <c:v>1307.9777994931494</c:v>
                </c:pt>
                <c:pt idx="50">
                  <c:v>1321.257102375806</c:v>
                </c:pt>
              </c:numCache>
            </c:numRef>
          </c:xVal>
          <c:yVal>
            <c:numRef>
              <c:f>Nanoindentation!$D$12:$D$62</c:f>
              <c:numCache>
                <c:formatCode>0</c:formatCode>
                <c:ptCount val="51"/>
                <c:pt idx="0">
                  <c:v>0</c:v>
                </c:pt>
                <c:pt idx="1">
                  <c:v>0.18</c:v>
                </c:pt>
                <c:pt idx="2">
                  <c:v>0.36</c:v>
                </c:pt>
                <c:pt idx="3">
                  <c:v>0.54</c:v>
                </c:pt>
                <c:pt idx="4">
                  <c:v>0.72</c:v>
                </c:pt>
                <c:pt idx="5">
                  <c:v>0.89999999999999991</c:v>
                </c:pt>
                <c:pt idx="6">
                  <c:v>1.0799999999999998</c:v>
                </c:pt>
                <c:pt idx="7">
                  <c:v>1.2599999999999998</c:v>
                </c:pt>
                <c:pt idx="8">
                  <c:v>1.4399999999999997</c:v>
                </c:pt>
                <c:pt idx="9">
                  <c:v>1.6199999999999997</c:v>
                </c:pt>
                <c:pt idx="10">
                  <c:v>1.7999999999999996</c:v>
                </c:pt>
                <c:pt idx="11">
                  <c:v>1.9799999999999995</c:v>
                </c:pt>
                <c:pt idx="12">
                  <c:v>2.1599999999999997</c:v>
                </c:pt>
                <c:pt idx="13">
                  <c:v>2.34</c:v>
                </c:pt>
                <c:pt idx="14">
                  <c:v>2.52</c:v>
                </c:pt>
                <c:pt idx="15">
                  <c:v>2.7</c:v>
                </c:pt>
                <c:pt idx="16">
                  <c:v>2.8800000000000003</c:v>
                </c:pt>
                <c:pt idx="17">
                  <c:v>3.0600000000000005</c:v>
                </c:pt>
                <c:pt idx="18">
                  <c:v>3.2400000000000007</c:v>
                </c:pt>
                <c:pt idx="19">
                  <c:v>3.4200000000000008</c:v>
                </c:pt>
                <c:pt idx="20">
                  <c:v>3.600000000000001</c:v>
                </c:pt>
                <c:pt idx="21">
                  <c:v>3.7800000000000011</c:v>
                </c:pt>
                <c:pt idx="22">
                  <c:v>3.9600000000000013</c:v>
                </c:pt>
                <c:pt idx="23">
                  <c:v>4.1400000000000015</c:v>
                </c:pt>
                <c:pt idx="24">
                  <c:v>4.3200000000000012</c:v>
                </c:pt>
                <c:pt idx="25">
                  <c:v>4.5000000000000009</c:v>
                </c:pt>
                <c:pt idx="26">
                  <c:v>4.6800000000000006</c:v>
                </c:pt>
                <c:pt idx="27">
                  <c:v>4.8600000000000003</c:v>
                </c:pt>
                <c:pt idx="28">
                  <c:v>5.04</c:v>
                </c:pt>
                <c:pt idx="29">
                  <c:v>5.22</c:v>
                </c:pt>
                <c:pt idx="30">
                  <c:v>5.3999999999999995</c:v>
                </c:pt>
                <c:pt idx="31">
                  <c:v>5.5799999999999992</c:v>
                </c:pt>
                <c:pt idx="32">
                  <c:v>5.7599999999999989</c:v>
                </c:pt>
                <c:pt idx="33">
                  <c:v>5.9399999999999986</c:v>
                </c:pt>
                <c:pt idx="34">
                  <c:v>6.1199999999999983</c:v>
                </c:pt>
                <c:pt idx="35">
                  <c:v>6.299999999999998</c:v>
                </c:pt>
                <c:pt idx="36">
                  <c:v>6.4799999999999978</c:v>
                </c:pt>
                <c:pt idx="37">
                  <c:v>6.6599999999999975</c:v>
                </c:pt>
                <c:pt idx="38">
                  <c:v>6.8399999999999972</c:v>
                </c:pt>
                <c:pt idx="39">
                  <c:v>7.0199999999999969</c:v>
                </c:pt>
                <c:pt idx="40">
                  <c:v>7.1999999999999966</c:v>
                </c:pt>
                <c:pt idx="41">
                  <c:v>7.3799999999999963</c:v>
                </c:pt>
                <c:pt idx="42">
                  <c:v>7.5599999999999961</c:v>
                </c:pt>
                <c:pt idx="43">
                  <c:v>7.7399999999999958</c:v>
                </c:pt>
                <c:pt idx="44">
                  <c:v>7.9199999999999955</c:v>
                </c:pt>
                <c:pt idx="45">
                  <c:v>8.0999999999999961</c:v>
                </c:pt>
                <c:pt idx="46">
                  <c:v>8.2799999999999958</c:v>
                </c:pt>
                <c:pt idx="47">
                  <c:v>8.4599999999999955</c:v>
                </c:pt>
                <c:pt idx="48">
                  <c:v>8.6399999999999952</c:v>
                </c:pt>
                <c:pt idx="49">
                  <c:v>8.819999999999995</c:v>
                </c:pt>
                <c:pt idx="50">
                  <c:v>8.9999999999999947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Nanoindentation!$G$12:$G$62</c:f>
              <c:numCache>
                <c:formatCode>0</c:formatCode>
                <c:ptCount val="51"/>
                <c:pt idx="0">
                  <c:v>920.22279910899795</c:v>
                </c:pt>
                <c:pt idx="1">
                  <c:v>976.93761417467442</c:v>
                </c:pt>
                <c:pt idx="2">
                  <c:v>1000.4296597623595</c:v>
                </c:pt>
                <c:pt idx="3">
                  <c:v>1018.4557403446224</c:v>
                </c:pt>
                <c:pt idx="4">
                  <c:v>1033.652429240351</c:v>
                </c:pt>
                <c:pt idx="5">
                  <c:v>1047.0409809271798</c:v>
                </c:pt>
                <c:pt idx="6">
                  <c:v>1059.1451568762172</c:v>
                </c:pt>
                <c:pt idx="7">
                  <c:v>1070.2760954257974</c:v>
                </c:pt>
                <c:pt idx="8">
                  <c:v>1080.6365204157212</c:v>
                </c:pt>
                <c:pt idx="9">
                  <c:v>1090.3672443060275</c:v>
                </c:pt>
                <c:pt idx="10">
                  <c:v>1099.5707917917678</c:v>
                </c:pt>
                <c:pt idx="11">
                  <c:v>1108.3245607362426</c:v>
                </c:pt>
                <c:pt idx="12">
                  <c:v>1116.688681580247</c:v>
                </c:pt>
                <c:pt idx="13">
                  <c:v>1124.710972906752</c:v>
                </c:pt>
                <c:pt idx="14">
                  <c:v>1132.4302058390044</c:v>
                </c:pt>
                <c:pt idx="15">
                  <c:v>1139.8783333415965</c:v>
                </c:pt>
                <c:pt idx="16">
                  <c:v>1147.082059371704</c:v>
                </c:pt>
                <c:pt idx="17">
                  <c:v>1154.063972162154</c:v>
                </c:pt>
                <c:pt idx="18">
                  <c:v>1160.8433810690829</c:v>
                </c:pt>
                <c:pt idx="19">
                  <c:v>1167.43694658188</c:v>
                </c:pt>
                <c:pt idx="20">
                  <c:v>1173.8591627453616</c:v>
                </c:pt>
                <c:pt idx="21">
                  <c:v>1180.1227321728825</c:v>
                </c:pt>
                <c:pt idx="22">
                  <c:v>1186.2388615085183</c:v>
                </c:pt>
                <c:pt idx="23">
                  <c:v>1192.2174970398205</c:v>
                </c:pt>
                <c:pt idx="24">
                  <c:v>1198.0675146434369</c:v>
                </c:pt>
                <c:pt idx="25">
                  <c:v>1203.7968744373804</c:v>
                </c:pt>
                <c:pt idx="26">
                  <c:v>1209.4127478386886</c:v>
                </c:pt>
                <c:pt idx="27">
                  <c:v>1214.9216228158714</c:v>
                </c:pt>
                <c:pt idx="28">
                  <c:v>1220.3293917425967</c:v>
                </c:pt>
                <c:pt idx="29">
                  <c:v>1225.6414252438208</c:v>
                </c:pt>
                <c:pt idx="30">
                  <c:v>1230.8626346710464</c:v>
                </c:pt>
                <c:pt idx="31">
                  <c:v>1235.9975252761667</c:v>
                </c:pt>
                <c:pt idx="32">
                  <c:v>1241.0502417224443</c:v>
                </c:pt>
                <c:pt idx="33">
                  <c:v>1246.0246072405953</c:v>
                </c:pt>
                <c:pt idx="34">
                  <c:v>1250.9241574820051</c:v>
                </c:pt>
                <c:pt idx="35">
                  <c:v>1255.75216992128</c:v>
                </c:pt>
                <c:pt idx="36">
                  <c:v>1260.5116895030569</c:v>
                </c:pt>
                <c:pt idx="37">
                  <c:v>1265.2055511032877</c:v>
                </c:pt>
                <c:pt idx="38">
                  <c:v>1269.8363992756499</c:v>
                </c:pt>
                <c:pt idx="39">
                  <c:v>1274.4067056736828</c:v>
                </c:pt>
                <c:pt idx="40">
                  <c:v>1278.9187844745375</c:v>
                </c:pt>
                <c:pt idx="41">
                  <c:v>1283.3748060775526</c:v>
                </c:pt>
                <c:pt idx="42">
                  <c:v>1287.7768093078028</c:v>
                </c:pt>
                <c:pt idx="43">
                  <c:v>1292.1267123193284</c:v>
                </c:pt>
                <c:pt idx="44">
                  <c:v>1296.4263223634871</c:v>
                </c:pt>
                <c:pt idx="45">
                  <c:v>1300.6773445635433</c:v>
                </c:pt>
                <c:pt idx="46">
                  <c:v>1304.8813898163403</c:v>
                </c:pt>
                <c:pt idx="47">
                  <c:v>1309.0399819248973</c:v>
                </c:pt>
                <c:pt idx="48">
                  <c:v>1313.1545640514958</c:v>
                </c:pt>
                <c:pt idx="49">
                  <c:v>1317.2265045687332</c:v>
                </c:pt>
                <c:pt idx="50">
                  <c:v>1321.257102375806</c:v>
                </c:pt>
              </c:numCache>
            </c:numRef>
          </c:xVal>
          <c:yVal>
            <c:numRef>
              <c:f>Nanoindentation!$D$12:$D$62</c:f>
              <c:numCache>
                <c:formatCode>0</c:formatCode>
                <c:ptCount val="51"/>
                <c:pt idx="0">
                  <c:v>0</c:v>
                </c:pt>
                <c:pt idx="1">
                  <c:v>0.18</c:v>
                </c:pt>
                <c:pt idx="2">
                  <c:v>0.36</c:v>
                </c:pt>
                <c:pt idx="3">
                  <c:v>0.54</c:v>
                </c:pt>
                <c:pt idx="4">
                  <c:v>0.72</c:v>
                </c:pt>
                <c:pt idx="5">
                  <c:v>0.89999999999999991</c:v>
                </c:pt>
                <c:pt idx="6">
                  <c:v>1.0799999999999998</c:v>
                </c:pt>
                <c:pt idx="7">
                  <c:v>1.2599999999999998</c:v>
                </c:pt>
                <c:pt idx="8">
                  <c:v>1.4399999999999997</c:v>
                </c:pt>
                <c:pt idx="9">
                  <c:v>1.6199999999999997</c:v>
                </c:pt>
                <c:pt idx="10">
                  <c:v>1.7999999999999996</c:v>
                </c:pt>
                <c:pt idx="11">
                  <c:v>1.9799999999999995</c:v>
                </c:pt>
                <c:pt idx="12">
                  <c:v>2.1599999999999997</c:v>
                </c:pt>
                <c:pt idx="13">
                  <c:v>2.34</c:v>
                </c:pt>
                <c:pt idx="14">
                  <c:v>2.52</c:v>
                </c:pt>
                <c:pt idx="15">
                  <c:v>2.7</c:v>
                </c:pt>
                <c:pt idx="16">
                  <c:v>2.8800000000000003</c:v>
                </c:pt>
                <c:pt idx="17">
                  <c:v>3.0600000000000005</c:v>
                </c:pt>
                <c:pt idx="18">
                  <c:v>3.2400000000000007</c:v>
                </c:pt>
                <c:pt idx="19">
                  <c:v>3.4200000000000008</c:v>
                </c:pt>
                <c:pt idx="20">
                  <c:v>3.600000000000001</c:v>
                </c:pt>
                <c:pt idx="21">
                  <c:v>3.7800000000000011</c:v>
                </c:pt>
                <c:pt idx="22">
                  <c:v>3.9600000000000013</c:v>
                </c:pt>
                <c:pt idx="23">
                  <c:v>4.1400000000000015</c:v>
                </c:pt>
                <c:pt idx="24">
                  <c:v>4.3200000000000012</c:v>
                </c:pt>
                <c:pt idx="25">
                  <c:v>4.5000000000000009</c:v>
                </c:pt>
                <c:pt idx="26">
                  <c:v>4.6800000000000006</c:v>
                </c:pt>
                <c:pt idx="27">
                  <c:v>4.8600000000000003</c:v>
                </c:pt>
                <c:pt idx="28">
                  <c:v>5.04</c:v>
                </c:pt>
                <c:pt idx="29">
                  <c:v>5.22</c:v>
                </c:pt>
                <c:pt idx="30">
                  <c:v>5.3999999999999995</c:v>
                </c:pt>
                <c:pt idx="31">
                  <c:v>5.5799999999999992</c:v>
                </c:pt>
                <c:pt idx="32">
                  <c:v>5.7599999999999989</c:v>
                </c:pt>
                <c:pt idx="33">
                  <c:v>5.9399999999999986</c:v>
                </c:pt>
                <c:pt idx="34">
                  <c:v>6.1199999999999983</c:v>
                </c:pt>
                <c:pt idx="35">
                  <c:v>6.299999999999998</c:v>
                </c:pt>
                <c:pt idx="36">
                  <c:v>6.4799999999999978</c:v>
                </c:pt>
                <c:pt idx="37">
                  <c:v>6.6599999999999975</c:v>
                </c:pt>
                <c:pt idx="38">
                  <c:v>6.8399999999999972</c:v>
                </c:pt>
                <c:pt idx="39">
                  <c:v>7.0199999999999969</c:v>
                </c:pt>
                <c:pt idx="40">
                  <c:v>7.1999999999999966</c:v>
                </c:pt>
                <c:pt idx="41">
                  <c:v>7.3799999999999963</c:v>
                </c:pt>
                <c:pt idx="42">
                  <c:v>7.5599999999999961</c:v>
                </c:pt>
                <c:pt idx="43">
                  <c:v>7.7399999999999958</c:v>
                </c:pt>
                <c:pt idx="44">
                  <c:v>7.9199999999999955</c:v>
                </c:pt>
                <c:pt idx="45">
                  <c:v>8.0999999999999961</c:v>
                </c:pt>
                <c:pt idx="46">
                  <c:v>8.2799999999999958</c:v>
                </c:pt>
                <c:pt idx="47">
                  <c:v>8.4599999999999955</c:v>
                </c:pt>
                <c:pt idx="48">
                  <c:v>8.6399999999999952</c:v>
                </c:pt>
                <c:pt idx="49">
                  <c:v>8.819999999999995</c:v>
                </c:pt>
                <c:pt idx="50">
                  <c:v>8.9999999999999947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38912"/>
        <c:axId val="182040832"/>
      </c:scatterChart>
      <c:valAx>
        <c:axId val="1820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Indentation depth </a:t>
                </a:r>
                <a:r>
                  <a:rPr lang="en-GB"/>
                  <a:t>nm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82040832"/>
        <c:crosses val="autoZero"/>
        <c:crossBetween val="midCat"/>
      </c:valAx>
      <c:valAx>
        <c:axId val="182040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Pressure mN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82038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Embossing "residue" v time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Stefan!$C$16:$C$35</c:f>
              <c:numCache>
                <c:formatCode>0</c:formatCode>
                <c:ptCount val="20"/>
                <c:pt idx="0">
                  <c:v>8078.0474857294039</c:v>
                </c:pt>
                <c:pt idx="1">
                  <c:v>6525.4851181699141</c:v>
                </c:pt>
                <c:pt idx="2">
                  <c:v>5271.3178651997114</c:v>
                </c:pt>
                <c:pt idx="3">
                  <c:v>4258.1956027457018</c:v>
                </c:pt>
                <c:pt idx="4">
                  <c:v>3439.7906282503918</c:v>
                </c:pt>
                <c:pt idx="5">
                  <c:v>2778.6792035973644</c:v>
                </c:pt>
                <c:pt idx="6">
                  <c:v>2244.6302554268273</c:v>
                </c:pt>
                <c:pt idx="7">
                  <c:v>1813.222979124283</c:v>
                </c:pt>
                <c:pt idx="8">
                  <c:v>1464.7301327581695</c:v>
                </c:pt>
                <c:pt idx="9">
                  <c:v>1183.2159566199227</c:v>
                </c:pt>
                <c:pt idx="10">
                  <c:v>955.80746834484785</c:v>
                </c:pt>
                <c:pt idx="11">
                  <c:v>772.10581165044846</c:v>
                </c:pt>
                <c:pt idx="12">
                  <c:v>623.71074105199659</c:v>
                </c:pt>
                <c:pt idx="13">
                  <c:v>503.83649835775043</c:v>
                </c:pt>
                <c:pt idx="14">
                  <c:v>407.00151587775326</c:v>
                </c:pt>
                <c:pt idx="15">
                  <c:v>328.77775720243409</c:v>
                </c:pt>
                <c:pt idx="16">
                  <c:v>265.58823349328753</c:v>
                </c:pt>
                <c:pt idx="17">
                  <c:v>214.54343618097653</c:v>
                </c:pt>
                <c:pt idx="18">
                  <c:v>173.30920652214843</c:v>
                </c:pt>
                <c:pt idx="19">
                  <c:v>139.99999999999991</c:v>
                </c:pt>
              </c:numCache>
            </c:numRef>
          </c:xVal>
          <c:yVal>
            <c:numRef>
              <c:f>Stefan!$D$16:$D$35</c:f>
              <c:numCache>
                <c:formatCode>General</c:formatCode>
                <c:ptCount val="20"/>
                <c:pt idx="0">
                  <c:v>2.4503185492413793E-6</c:v>
                </c:pt>
                <c:pt idx="1">
                  <c:v>6.205316844185885E-6</c:v>
                </c:pt>
                <c:pt idx="2">
                  <c:v>1.1959675680265191E-5</c:v>
                </c:pt>
                <c:pt idx="3">
                  <c:v>2.0777960806771046E-5</c:v>
                </c:pt>
                <c:pt idx="4">
                  <c:v>3.4291569322943655E-5</c:v>
                </c:pt>
                <c:pt idx="5">
                  <c:v>5.500054079625923E-5</c:v>
                </c:pt>
                <c:pt idx="6">
                  <c:v>8.6736068650965966E-5</c:v>
                </c:pt>
                <c:pt idx="7">
                  <c:v>1.353692771864366E-4</c:v>
                </c:pt>
                <c:pt idx="8">
                  <c:v>2.0989738912719286E-4</c:v>
                </c:pt>
                <c:pt idx="9">
                  <c:v>3.2410822646898081E-4</c:v>
                </c:pt>
                <c:pt idx="10">
                  <c:v>4.9913097998622203E-4</c:v>
                </c:pt>
                <c:pt idx="11">
                  <c:v>7.6734514391082987E-4</c:v>
                </c:pt>
                <c:pt idx="12">
                  <c:v>1.1783707750593522E-3</c:v>
                </c:pt>
                <c:pt idx="13">
                  <c:v>1.8082482840954853E-3</c:v>
                </c:pt>
                <c:pt idx="14">
                  <c:v>2.773506035250672E-3</c:v>
                </c:pt>
                <c:pt idx="15">
                  <c:v>4.252718283344642E-3</c:v>
                </c:pt>
                <c:pt idx="16">
                  <c:v>6.5195417015379824E-3</c:v>
                </c:pt>
                <c:pt idx="17">
                  <c:v>9.9933423112144541E-3</c:v>
                </c:pt>
                <c:pt idx="18">
                  <c:v>1.5316778878411331E-2</c:v>
                </c:pt>
                <c:pt idx="19">
                  <c:v>2.3474695831396192E-2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04960"/>
        <c:axId val="203707136"/>
      </c:scatterChart>
      <c:valAx>
        <c:axId val="20370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 </a:t>
                </a:r>
                <a:r>
                  <a:rPr lang="el-GR"/>
                  <a:t>μ</a:t>
                </a:r>
                <a:r>
                  <a:rPr lang="en-US"/>
                  <a:t>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03707136"/>
        <c:crosses val="autoZero"/>
        <c:crossBetween val="midCat"/>
      </c:valAx>
      <c:valAx>
        <c:axId val="20370713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Time 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704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% Nanomaterial - fixed total 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3673655661810652"/>
          <c:y val="3.7037037037037035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% by Vol.</c:v>
          </c:tx>
          <c:marker>
            <c:symbol val="none"/>
          </c:marker>
          <c:xVal>
            <c:numRef>
              <c:f>'Shell %'!$B$6:$B$16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6.0000000000000009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18.000000000000004</c:v>
                </c:pt>
                <c:pt idx="10">
                  <c:v>20.000000000000004</c:v>
                </c:pt>
              </c:numCache>
            </c:numRef>
          </c:xVal>
          <c:yVal>
            <c:numRef>
              <c:f>'Shell %'!$H$24:$H$34</c:f>
              <c:numCache>
                <c:formatCode>0%</c:formatCode>
                <c:ptCount val="11"/>
                <c:pt idx="0">
                  <c:v>1</c:v>
                </c:pt>
                <c:pt idx="1">
                  <c:v>0.72899999999999987</c:v>
                </c:pt>
                <c:pt idx="2">
                  <c:v>0.51200000000000001</c:v>
                </c:pt>
                <c:pt idx="3">
                  <c:v>0.34299999999999992</c:v>
                </c:pt>
                <c:pt idx="4">
                  <c:v>0.21599999999999994</c:v>
                </c:pt>
                <c:pt idx="5">
                  <c:v>0.125</c:v>
                </c:pt>
                <c:pt idx="6">
                  <c:v>6.4000000000000001E-2</c:v>
                </c:pt>
                <c:pt idx="7">
                  <c:v>2.7000000000000007E-2</c:v>
                </c:pt>
                <c:pt idx="8">
                  <c:v>7.999999999999995E-3</c:v>
                </c:pt>
                <c:pt idx="9">
                  <c:v>9.9999999999999699E-4</c:v>
                </c:pt>
                <c:pt idx="10">
                  <c:v>-4.5278395394133555E-48</c:v>
                </c:pt>
              </c:numCache>
            </c:numRef>
          </c:yVal>
          <c:smooth val="1"/>
        </c:ser>
        <c:ser>
          <c:idx val="1"/>
          <c:order val="1"/>
          <c:tx>
            <c:v>% by Mass</c:v>
          </c:tx>
          <c:marker>
            <c:symbol val="none"/>
          </c:marker>
          <c:xVal>
            <c:numRef>
              <c:f>'Shell %'!$B$6:$B$16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6.0000000000000009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18.000000000000004</c:v>
                </c:pt>
                <c:pt idx="10">
                  <c:v>20.000000000000004</c:v>
                </c:pt>
              </c:numCache>
            </c:numRef>
          </c:xVal>
          <c:yVal>
            <c:numRef>
              <c:f>'Shell %'!$I$24:$I$34</c:f>
              <c:numCache>
                <c:formatCode>0%</c:formatCode>
                <c:ptCount val="11"/>
                <c:pt idx="0">
                  <c:v>1</c:v>
                </c:pt>
                <c:pt idx="1">
                  <c:v>0.87055170766658696</c:v>
                </c:pt>
                <c:pt idx="2">
                  <c:v>0.72398190045248867</c:v>
                </c:pt>
                <c:pt idx="3">
                  <c:v>0.56619346318917119</c:v>
                </c:pt>
                <c:pt idx="4">
                  <c:v>0.40785498489425975</c:v>
                </c:pt>
                <c:pt idx="5">
                  <c:v>0.26315789473684215</c:v>
                </c:pt>
                <c:pt idx="6">
                  <c:v>0.14598540145985403</c:v>
                </c:pt>
                <c:pt idx="7">
                  <c:v>6.4872657376261425E-2</c:v>
                </c:pt>
                <c:pt idx="8">
                  <c:v>1.9762845849802362E-2</c:v>
                </c:pt>
                <c:pt idx="9">
                  <c:v>2.4962556165751301E-3</c:v>
                </c:pt>
                <c:pt idx="10">
                  <c:v>-1.1319598848533389E-47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78720"/>
        <c:axId val="166080896"/>
      </c:scatterChart>
      <c:valAx>
        <c:axId val="166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 of Shell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080896"/>
        <c:crosses val="autoZero"/>
        <c:crossBetween val="midCat"/>
      </c:valAx>
      <c:valAx>
        <c:axId val="1660808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6078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Distributions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P1</c:v>
          </c:tx>
          <c:spPr>
            <a:ln>
              <a:prstDash val="sysDot"/>
            </a:ln>
          </c:spPr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Distribution!$D$9:$D$48</c:f>
              <c:numCache>
                <c:formatCode>0.00</c:formatCode>
                <c:ptCount val="40"/>
                <c:pt idx="0">
                  <c:v>0.12636055410679864</c:v>
                </c:pt>
                <c:pt idx="1">
                  <c:v>0.61313240195240382</c:v>
                </c:pt>
                <c:pt idx="2">
                  <c:v>1.2551071508349185</c:v>
                </c:pt>
                <c:pt idx="3">
                  <c:v>1.8044704431548364</c:v>
                </c:pt>
                <c:pt idx="4">
                  <c:v>2.1376301724973641</c:v>
                </c:pt>
                <c:pt idx="5">
                  <c:v>2.2404180765538779</c:v>
                </c:pt>
                <c:pt idx="6">
                  <c:v>2.1578546903865097</c:v>
                </c:pt>
                <c:pt idx="7">
                  <c:v>1.9536681481316462</c:v>
                </c:pt>
                <c:pt idx="8">
                  <c:v>1.6871788492455508</c:v>
                </c:pt>
                <c:pt idx="9">
                  <c:v>1.4037389581428059</c:v>
                </c:pt>
                <c:pt idx="10">
                  <c:v>1.1332276634574321</c:v>
                </c:pt>
                <c:pt idx="11">
                  <c:v>0.89235078359988906</c:v>
                </c:pt>
                <c:pt idx="12">
                  <c:v>0.68813664728577639</c:v>
                </c:pt>
                <c:pt idx="13">
                  <c:v>0.52129252364199874</c:v>
                </c:pt>
                <c:pt idx="14">
                  <c:v>0.38888744776019574</c:v>
                </c:pt>
                <c:pt idx="15">
                  <c:v>0.28626144247681018</c:v>
                </c:pt>
                <c:pt idx="16">
                  <c:v>0.2082583535311032</c:v>
                </c:pt>
                <c:pt idx="17">
                  <c:v>0.14994291196531567</c:v>
                </c:pt>
                <c:pt idx="18">
                  <c:v>0.10696014608327889</c:v>
                </c:pt>
                <c:pt idx="19">
                  <c:v>7.5666549604141417E-2</c:v>
                </c:pt>
                <c:pt idx="20">
                  <c:v>5.3128136964168453E-2</c:v>
                </c:pt>
                <c:pt idx="21">
                  <c:v>3.7049939586361616E-2</c:v>
                </c:pt>
                <c:pt idx="22">
                  <c:v>2.5677676836362469E-2</c:v>
                </c:pt>
                <c:pt idx="23">
                  <c:v>1.7695331577585256E-2</c:v>
                </c:pt>
                <c:pt idx="24">
                  <c:v>1.2131032461193594E-2</c:v>
                </c:pt>
                <c:pt idx="25">
                  <c:v>8.2765728452289609E-3</c:v>
                </c:pt>
                <c:pt idx="26">
                  <c:v>5.6217891036037361E-3</c:v>
                </c:pt>
                <c:pt idx="27">
                  <c:v>3.8028580087003175E-3</c:v>
                </c:pt>
                <c:pt idx="28">
                  <c:v>2.5626114879933799E-3</c:v>
                </c:pt>
                <c:pt idx="29">
                  <c:v>1.7207005528227699E-3</c:v>
                </c:pt>
                <c:pt idx="30">
                  <c:v>1.1515409184102625E-3</c:v>
                </c:pt>
                <c:pt idx="31">
                  <c:v>7.6824012608347537E-4</c:v>
                </c:pt>
                <c:pt idx="32">
                  <c:v>5.1102439278197102E-4</c:v>
                </c:pt>
                <c:pt idx="33">
                  <c:v>3.3899190020652523E-4</c:v>
                </c:pt>
                <c:pt idx="34">
                  <c:v>2.2428976833859001E-4</c:v>
                </c:pt>
                <c:pt idx="35">
                  <c:v>1.4803540311860694E-4</c:v>
                </c:pt>
                <c:pt idx="36">
                  <c:v>9.7480112026624382E-5</c:v>
                </c:pt>
                <c:pt idx="37">
                  <c:v>6.404930127511359E-5</c:v>
                </c:pt>
                <c:pt idx="38">
                  <c:v>4.1996218496797562E-5</c:v>
                </c:pt>
                <c:pt idx="39">
                  <c:v>2.7482048299180806E-5</c:v>
                </c:pt>
              </c:numCache>
            </c:numRef>
          </c:yVal>
          <c:smooth val="1"/>
        </c:ser>
        <c:ser>
          <c:idx val="3"/>
          <c:order val="1"/>
          <c:tx>
            <c:v>P2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Distribution!$E$9:$E$48</c:f>
              <c:numCache>
                <c:formatCode>0.00</c:formatCode>
                <c:ptCount val="40"/>
                <c:pt idx="0">
                  <c:v>7.878788583547426E-204</c:v>
                </c:pt>
                <c:pt idx="1">
                  <c:v>4.0677688032252844E-152</c:v>
                </c:pt>
                <c:pt idx="2">
                  <c:v>9.0827889458046119E-123</c:v>
                </c:pt>
                <c:pt idx="3">
                  <c:v>1.415078935106674E-102</c:v>
                </c:pt>
                <c:pt idx="4">
                  <c:v>2.1193397561508991E-87</c:v>
                </c:pt>
                <c:pt idx="5">
                  <c:v>2.1289782176266218E-75</c:v>
                </c:pt>
                <c:pt idx="6">
                  <c:v>1.3809379106701919E-65</c:v>
                </c:pt>
                <c:pt idx="7">
                  <c:v>2.2349110968198441E-57</c:v>
                </c:pt>
                <c:pt idx="8">
                  <c:v>2.1581884324070057E-50</c:v>
                </c:pt>
                <c:pt idx="9">
                  <c:v>2.2553178712623981E-44</c:v>
                </c:pt>
                <c:pt idx="10">
                  <c:v>3.8996532771555796E-39</c:v>
                </c:pt>
                <c:pt idx="11">
                  <c:v>1.5265322535618977E-34</c:v>
                </c:pt>
                <c:pt idx="12">
                  <c:v>1.7165268286493767E-30</c:v>
                </c:pt>
                <c:pt idx="13">
                  <c:v>6.6717000011185639E-27</c:v>
                </c:pt>
                <c:pt idx="14">
                  <c:v>1.0379611168630867E-23</c:v>
                </c:pt>
                <c:pt idx="15">
                  <c:v>7.2752881608338612E-21</c:v>
                </c:pt>
                <c:pt idx="16">
                  <c:v>2.5307999743852897E-18</c:v>
                </c:pt>
                <c:pt idx="17">
                  <c:v>4.7337672275594919E-16</c:v>
                </c:pt>
                <c:pt idx="18">
                  <c:v>5.0915574237567671E-14</c:v>
                </c:pt>
                <c:pt idx="19">
                  <c:v>3.333134892510029E-12</c:v>
                </c:pt>
                <c:pt idx="20">
                  <c:v>1.394007190700962E-10</c:v>
                </c:pt>
                <c:pt idx="21">
                  <c:v>3.8832800736080952E-9</c:v>
                </c:pt>
                <c:pt idx="22">
                  <c:v>7.4704899310805436E-8</c:v>
                </c:pt>
                <c:pt idx="23">
                  <c:v>1.0242507589855228E-6</c:v>
                </c:pt>
                <c:pt idx="24">
                  <c:v>1.0289237001535667E-5</c:v>
                </c:pt>
                <c:pt idx="25">
                  <c:v>7.7602997345027386E-5</c:v>
                </c:pt>
                <c:pt idx="26">
                  <c:v>4.4904574340163942E-4</c:v>
                </c:pt>
                <c:pt idx="27">
                  <c:v>2.0323195750929085E-3</c:v>
                </c:pt>
                <c:pt idx="28">
                  <c:v>7.3193683610417665E-3</c:v>
                </c:pt>
                <c:pt idx="29">
                  <c:v>2.1304147769535174E-2</c:v>
                </c:pt>
                <c:pt idx="30">
                  <c:v>5.0819496485313621E-2</c:v>
                </c:pt>
                <c:pt idx="31">
                  <c:v>0.10061456900940331</c:v>
                </c:pt>
                <c:pt idx="32">
                  <c:v>0.1672390071337938</c:v>
                </c:pt>
                <c:pt idx="33">
                  <c:v>0.23582838858269065</c:v>
                </c:pt>
                <c:pt idx="34">
                  <c:v>0.28482457766662128</c:v>
                </c:pt>
                <c:pt idx="35">
                  <c:v>0.29721638746423251</c:v>
                </c:pt>
                <c:pt idx="36">
                  <c:v>0.27012284324556701</c:v>
                </c:pt>
                <c:pt idx="37">
                  <c:v>0.21539920162069295</c:v>
                </c:pt>
                <c:pt idx="38">
                  <c:v>0.15173037915335225</c:v>
                </c:pt>
                <c:pt idx="39">
                  <c:v>9.5011007526724478E-2</c:v>
                </c:pt>
              </c:numCache>
            </c:numRef>
          </c:yVal>
          <c:smooth val="1"/>
        </c:ser>
        <c:ser>
          <c:idx val="1"/>
          <c:order val="2"/>
          <c:tx>
            <c:v>Sum Offset</c:v>
          </c:tx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Distribution!$J$9:$J$48</c:f>
              <c:numCache>
                <c:formatCode>0.00</c:formatCode>
                <c:ptCount val="40"/>
                <c:pt idx="0">
                  <c:v>0.32636055410679865</c:v>
                </c:pt>
                <c:pt idx="1">
                  <c:v>0.81313240195240377</c:v>
                </c:pt>
                <c:pt idx="2">
                  <c:v>1.4551071508349185</c:v>
                </c:pt>
                <c:pt idx="3">
                  <c:v>2.0044704431548364</c:v>
                </c:pt>
                <c:pt idx="4">
                  <c:v>2.3376301724973643</c:v>
                </c:pt>
                <c:pt idx="5">
                  <c:v>2.4404180765538781</c:v>
                </c:pt>
                <c:pt idx="6">
                  <c:v>2.3578546903865099</c:v>
                </c:pt>
                <c:pt idx="7">
                  <c:v>2.1536681481316462</c:v>
                </c:pt>
                <c:pt idx="8">
                  <c:v>1.8871788492455508</c:v>
                </c:pt>
                <c:pt idx="9">
                  <c:v>1.6037389581428059</c:v>
                </c:pt>
                <c:pt idx="10">
                  <c:v>1.333227663457432</c:v>
                </c:pt>
                <c:pt idx="11">
                  <c:v>1.0923507835998891</c:v>
                </c:pt>
                <c:pt idx="12">
                  <c:v>0.88813664728577635</c:v>
                </c:pt>
                <c:pt idx="13">
                  <c:v>0.7212925236419987</c:v>
                </c:pt>
                <c:pt idx="14">
                  <c:v>0.58888744776019575</c:v>
                </c:pt>
                <c:pt idx="15">
                  <c:v>0.48626144247681019</c:v>
                </c:pt>
                <c:pt idx="16">
                  <c:v>0.40825835353110318</c:v>
                </c:pt>
                <c:pt idx="17">
                  <c:v>0.34994291196531613</c:v>
                </c:pt>
                <c:pt idx="18">
                  <c:v>0.30696014608332983</c:v>
                </c:pt>
                <c:pt idx="19">
                  <c:v>0.27566654960747455</c:v>
                </c:pt>
                <c:pt idx="20">
                  <c:v>0.25312813710356918</c:v>
                </c:pt>
                <c:pt idx="21">
                  <c:v>0.2370499434696417</c:v>
                </c:pt>
                <c:pt idx="22">
                  <c:v>0.2256777515412618</c:v>
                </c:pt>
                <c:pt idx="23">
                  <c:v>0.21769635582834426</c:v>
                </c:pt>
                <c:pt idx="24">
                  <c:v>0.21214132169819513</c:v>
                </c:pt>
                <c:pt idx="25">
                  <c:v>0.20835417584257399</c:v>
                </c:pt>
                <c:pt idx="26">
                  <c:v>0.20607083484700539</c:v>
                </c:pt>
                <c:pt idx="27">
                  <c:v>0.20583517758379324</c:v>
                </c:pt>
                <c:pt idx="28">
                  <c:v>0.20988197984903517</c:v>
                </c:pt>
                <c:pt idx="29">
                  <c:v>0.22302484832235794</c:v>
                </c:pt>
                <c:pt idx="30">
                  <c:v>0.2519710374037239</c:v>
                </c:pt>
                <c:pt idx="31">
                  <c:v>0.30138280913548682</c:v>
                </c:pt>
                <c:pt idx="32">
                  <c:v>0.36775003152657582</c:v>
                </c:pt>
                <c:pt idx="33">
                  <c:v>0.43616738048289716</c:v>
                </c:pt>
                <c:pt idx="34">
                  <c:v>0.4850488674349599</c:v>
                </c:pt>
                <c:pt idx="35">
                  <c:v>0.49736442286735111</c:v>
                </c:pt>
                <c:pt idx="36">
                  <c:v>0.47022032335759367</c:v>
                </c:pt>
                <c:pt idx="37">
                  <c:v>0.41546325092196812</c:v>
                </c:pt>
                <c:pt idx="38">
                  <c:v>0.35177237537184902</c:v>
                </c:pt>
                <c:pt idx="39">
                  <c:v>0.29503848957502365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50688"/>
        <c:axId val="168465152"/>
      </c:scatterChart>
      <c:valAx>
        <c:axId val="1684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465152"/>
        <c:crosses val="autoZero"/>
        <c:crossBetween val="midCat"/>
      </c:valAx>
      <c:valAx>
        <c:axId val="168465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8450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Number Distribution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Distribution!$G$9:$G$48</c:f>
              <c:numCache>
                <c:formatCode>0.00</c:formatCode>
                <c:ptCount val="40"/>
                <c:pt idx="0">
                  <c:v>0.12636055410679864</c:v>
                </c:pt>
                <c:pt idx="1">
                  <c:v>0.73949295605920251</c:v>
                </c:pt>
                <c:pt idx="2">
                  <c:v>1.994600106894121</c:v>
                </c:pt>
                <c:pt idx="3">
                  <c:v>3.7990705500489574</c:v>
                </c:pt>
                <c:pt idx="4">
                  <c:v>5.9367007225463215</c:v>
                </c:pt>
                <c:pt idx="5">
                  <c:v>8.1771187991001995</c:v>
                </c:pt>
                <c:pt idx="6">
                  <c:v>10.334973489486709</c:v>
                </c:pt>
                <c:pt idx="7">
                  <c:v>12.288641637618355</c:v>
                </c:pt>
                <c:pt idx="8">
                  <c:v>13.975820486863906</c:v>
                </c:pt>
                <c:pt idx="9">
                  <c:v>15.379559445006713</c:v>
                </c:pt>
                <c:pt idx="10">
                  <c:v>16.512787108464146</c:v>
                </c:pt>
                <c:pt idx="11">
                  <c:v>17.405137892064033</c:v>
                </c:pt>
                <c:pt idx="12">
                  <c:v>18.09327453934981</c:v>
                </c:pt>
                <c:pt idx="13">
                  <c:v>18.61456706299181</c:v>
                </c:pt>
                <c:pt idx="14">
                  <c:v>19.003454510752007</c:v>
                </c:pt>
                <c:pt idx="15">
                  <c:v>19.289715953228818</c:v>
                </c:pt>
                <c:pt idx="16">
                  <c:v>19.497974306759922</c:v>
                </c:pt>
                <c:pt idx="17">
                  <c:v>19.647917218725237</c:v>
                </c:pt>
                <c:pt idx="18">
                  <c:v>19.754877364808568</c:v>
                </c:pt>
                <c:pt idx="19">
                  <c:v>19.830543914416044</c:v>
                </c:pt>
                <c:pt idx="20">
                  <c:v>19.883672051519614</c:v>
                </c:pt>
                <c:pt idx="21">
                  <c:v>19.920721994989258</c:v>
                </c:pt>
                <c:pt idx="22">
                  <c:v>19.946399746530521</c:v>
                </c:pt>
                <c:pt idx="23">
                  <c:v>19.964096102358866</c:v>
                </c:pt>
                <c:pt idx="24">
                  <c:v>19.976237424057061</c:v>
                </c:pt>
                <c:pt idx="25">
                  <c:v>19.984591599899634</c:v>
                </c:pt>
                <c:pt idx="26">
                  <c:v>19.990662434746639</c:v>
                </c:pt>
                <c:pt idx="27">
                  <c:v>19.996497612330433</c:v>
                </c:pt>
                <c:pt idx="28">
                  <c:v>20.006379592179467</c:v>
                </c:pt>
                <c:pt idx="29">
                  <c:v>20.029404440501825</c:v>
                </c:pt>
                <c:pt idx="30">
                  <c:v>20.081375477905549</c:v>
                </c:pt>
                <c:pt idx="31">
                  <c:v>20.182758287041036</c:v>
                </c:pt>
                <c:pt idx="32">
                  <c:v>20.350508318567613</c:v>
                </c:pt>
                <c:pt idx="33">
                  <c:v>20.58667569905051</c:v>
                </c:pt>
                <c:pt idx="34">
                  <c:v>20.871724566485469</c:v>
                </c:pt>
                <c:pt idx="35">
                  <c:v>21.169088989352819</c:v>
                </c:pt>
                <c:pt idx="36">
                  <c:v>21.439309312710414</c:v>
                </c:pt>
                <c:pt idx="37">
                  <c:v>21.654772563632381</c:v>
                </c:pt>
                <c:pt idx="38">
                  <c:v>21.80654493900423</c:v>
                </c:pt>
                <c:pt idx="39">
                  <c:v>21.901583428579254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81536"/>
        <c:axId val="168483456"/>
      </c:scatterChart>
      <c:valAx>
        <c:axId val="1684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483456"/>
        <c:crosses val="autoZero"/>
        <c:crossBetween val="midCat"/>
      </c:valAx>
      <c:valAx>
        <c:axId val="168483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8481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Area Distribution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Distribution!$H$9:$H$48</c:f>
              <c:numCache>
                <c:formatCode>0.00</c:formatCode>
                <c:ptCount val="40"/>
                <c:pt idx="0">
                  <c:v>7.8975346316749158E-5</c:v>
                </c:pt>
                <c:pt idx="1">
                  <c:v>1.6118063511977589E-3</c:v>
                </c:pt>
                <c:pt idx="2">
                  <c:v>8.6717840746441763E-3</c:v>
                </c:pt>
                <c:pt idx="3">
                  <c:v>2.6716488506192543E-2</c:v>
                </c:pt>
                <c:pt idx="4">
                  <c:v>6.0116959951463857E-2</c:v>
                </c:pt>
                <c:pt idx="5">
                  <c:v>0.11052636667392611</c:v>
                </c:pt>
                <c:pt idx="6">
                  <c:v>0.17661066656701296</c:v>
                </c:pt>
                <c:pt idx="7">
                  <c:v>0.2547573924922788</c:v>
                </c:pt>
                <c:pt idx="8">
                  <c:v>0.34017082173533481</c:v>
                </c:pt>
                <c:pt idx="9">
                  <c:v>0.42790450661926016</c:v>
                </c:pt>
                <c:pt idx="10">
                  <c:v>0.51360484866822853</c:v>
                </c:pt>
                <c:pt idx="11">
                  <c:v>0.5939164191922186</c:v>
                </c:pt>
                <c:pt idx="12">
                  <c:v>0.6666008525617787</c:v>
                </c:pt>
                <c:pt idx="13">
                  <c:v>0.73045918670792354</c:v>
                </c:pt>
                <c:pt idx="14">
                  <c:v>0.78514648404920107</c:v>
                </c:pt>
                <c:pt idx="15">
                  <c:v>0.8309483148454907</c:v>
                </c:pt>
                <c:pt idx="16">
                  <c:v>0.86856497995204618</c:v>
                </c:pt>
                <c:pt idx="17">
                  <c:v>0.89892841962502268</c:v>
                </c:pt>
                <c:pt idx="18">
                  <c:v>0.92306130258507402</c:v>
                </c:pt>
                <c:pt idx="19">
                  <c:v>0.94197793998694268</c:v>
                </c:pt>
                <c:pt idx="20">
                  <c:v>0.95662138277611397</c:v>
                </c:pt>
                <c:pt idx="21">
                  <c:v>0.96782899067568062</c:v>
                </c:pt>
                <c:pt idx="22">
                  <c:v>0.97631869727901033</c:v>
                </c:pt>
                <c:pt idx="23">
                  <c:v>0.98268938537721429</c:v>
                </c:pt>
                <c:pt idx="24">
                  <c:v>0.98743208916557179</c:v>
                </c:pt>
                <c:pt idx="25">
                  <c:v>0.99096172845905928</c:v>
                </c:pt>
                <c:pt idx="26">
                  <c:v>0.99372775258622614</c:v>
                </c:pt>
                <c:pt idx="27">
                  <c:v>0.99658698960228487</c:v>
                </c:pt>
                <c:pt idx="28">
                  <c:v>1.001781205260434</c:v>
                </c:pt>
                <c:pt idx="29">
                  <c:v>1.0147326824417604</c:v>
                </c:pt>
                <c:pt idx="30">
                  <c:v>1.0459477867823721</c:v>
                </c:pt>
                <c:pt idx="31">
                  <c:v>1.1108327846290837</c:v>
                </c:pt>
                <c:pt idx="32">
                  <c:v>1.2250076498368594</c:v>
                </c:pt>
                <c:pt idx="33">
                  <c:v>1.3956385822357527</c:v>
                </c:pt>
                <c:pt idx="34">
                  <c:v>1.6138791213656438</c:v>
                </c:pt>
                <c:pt idx="35">
                  <c:v>1.8547443038881983</c:v>
                </c:pt>
                <c:pt idx="36">
                  <c:v>2.0859515680610397</c:v>
                </c:pt>
                <c:pt idx="37">
                  <c:v>2.2804071520181157</c:v>
                </c:pt>
                <c:pt idx="38">
                  <c:v>2.4246857663559798</c:v>
                </c:pt>
                <c:pt idx="39">
                  <c:v>2.5197242559310036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706816"/>
        <c:axId val="168708736"/>
      </c:scatterChart>
      <c:valAx>
        <c:axId val="16870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708736"/>
        <c:crosses val="autoZero"/>
        <c:crossBetween val="midCat"/>
      </c:valAx>
      <c:valAx>
        <c:axId val="168708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8706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Mass Distribution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marker>
            <c:symbol val="none"/>
          </c:marker>
          <c:xVal>
            <c:numRef>
              <c:f>Distribution!$B$9:$B$48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xVal>
          <c:yVal>
            <c:numRef>
              <c:f>Distribution!$I$9:$I$48</c:f>
              <c:numCache>
                <c:formatCode>0.00</c:formatCode>
                <c:ptCount val="40"/>
                <c:pt idx="0">
                  <c:v>1.9743836579187292E-6</c:v>
                </c:pt>
                <c:pt idx="1">
                  <c:v>7.8615933901969218E-5</c:v>
                </c:pt>
                <c:pt idx="2">
                  <c:v>6.0811426316045045E-4</c:v>
                </c:pt>
                <c:pt idx="3">
                  <c:v>2.4125847063152872E-3</c:v>
                </c:pt>
                <c:pt idx="4">
                  <c:v>6.5876436369742015E-3</c:v>
                </c:pt>
                <c:pt idx="5">
                  <c:v>1.414905464534354E-2</c:v>
                </c:pt>
                <c:pt idx="6">
                  <c:v>2.5713807126633736E-2</c:v>
                </c:pt>
                <c:pt idx="7">
                  <c:v>4.1343152311686907E-2</c:v>
                </c:pt>
                <c:pt idx="8">
                  <c:v>6.0561173891374512E-2</c:v>
                </c:pt>
                <c:pt idx="9">
                  <c:v>8.2494595112355851E-2</c:v>
                </c:pt>
                <c:pt idx="10">
                  <c:v>0.10606218917582214</c:v>
                </c:pt>
                <c:pt idx="11">
                  <c:v>0.13015566033301915</c:v>
                </c:pt>
                <c:pt idx="12">
                  <c:v>0.15377810117812618</c:v>
                </c:pt>
                <c:pt idx="13">
                  <c:v>0.17612851812927688</c:v>
                </c:pt>
                <c:pt idx="14">
                  <c:v>0.19663625463225595</c:v>
                </c:pt>
                <c:pt idx="15">
                  <c:v>0.21495698695077181</c:v>
                </c:pt>
                <c:pt idx="16">
                  <c:v>0.2309440696210579</c:v>
                </c:pt>
                <c:pt idx="17">
                  <c:v>0.24460761747389734</c:v>
                </c:pt>
                <c:pt idx="18">
                  <c:v>0.25607073687992171</c:v>
                </c:pt>
                <c:pt idx="19">
                  <c:v>0.26552905558085604</c:v>
                </c:pt>
                <c:pt idx="20">
                  <c:v>0.27321686304517095</c:v>
                </c:pt>
                <c:pt idx="21">
                  <c:v>0.27938104738993258</c:v>
                </c:pt>
                <c:pt idx="22">
                  <c:v>0.28426262868684715</c:v>
                </c:pt>
                <c:pt idx="23">
                  <c:v>0.28808504154576953</c:v>
                </c:pt>
                <c:pt idx="24">
                  <c:v>0.29104923141349293</c:v>
                </c:pt>
                <c:pt idx="25">
                  <c:v>0.29334349695425982</c:v>
                </c:pt>
                <c:pt idx="26">
                  <c:v>0.29521056324009742</c:v>
                </c:pt>
                <c:pt idx="27">
                  <c:v>0.29721202915133849</c:v>
                </c:pt>
                <c:pt idx="28">
                  <c:v>0.3009778355034966</c:v>
                </c:pt>
                <c:pt idx="29">
                  <c:v>0.31069144338949134</c:v>
                </c:pt>
                <c:pt idx="30">
                  <c:v>0.33488314925346541</c:v>
                </c:pt>
                <c:pt idx="31">
                  <c:v>0.38679114753083466</c:v>
                </c:pt>
                <c:pt idx="32">
                  <c:v>0.48098541132724953</c:v>
                </c:pt>
                <c:pt idx="33">
                  <c:v>0.62602170386630873</c:v>
                </c:pt>
                <c:pt idx="34">
                  <c:v>0.81698217560496356</c:v>
                </c:pt>
                <c:pt idx="35">
                  <c:v>1.0337608398752625</c:v>
                </c:pt>
                <c:pt idx="36">
                  <c:v>1.2476275592351405</c:v>
                </c:pt>
                <c:pt idx="37">
                  <c:v>1.4323603639943627</c:v>
                </c:pt>
                <c:pt idx="38">
                  <c:v>1.57303201297378</c:v>
                </c:pt>
                <c:pt idx="39">
                  <c:v>1.6680705025488036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737024"/>
        <c:axId val="168747392"/>
      </c:scatterChart>
      <c:valAx>
        <c:axId val="16873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747392"/>
        <c:crosses val="autoZero"/>
        <c:crossBetween val="midCat"/>
      </c:valAx>
      <c:valAx>
        <c:axId val="168747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8737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Rayleigh Scattering Intensity v Angle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Rayleigh!$E$9</c:f>
              <c:strCache>
                <c:ptCount val="1"/>
                <c:pt idx="0">
                  <c:v>Scattering Intensity</c:v>
                </c:pt>
              </c:strCache>
            </c:strRef>
          </c:tx>
          <c:marker>
            <c:symbol val="none"/>
          </c:marker>
          <c:xVal>
            <c:numRef>
              <c:f>Rayleigh!$B$11:$B$29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Rayleigh!$H$11:$H$29</c:f>
              <c:numCache>
                <c:formatCode>0.00E+00</c:formatCode>
                <c:ptCount val="19"/>
                <c:pt idx="0">
                  <c:v>4232.9837184623029</c:v>
                </c:pt>
                <c:pt idx="1">
                  <c:v>4169.1636798832078</c:v>
                </c:pt>
                <c:pt idx="2">
                  <c:v>3985.4012026820164</c:v>
                </c:pt>
                <c:pt idx="3">
                  <c:v>3703.8607536545155</c:v>
                </c:pt>
                <c:pt idx="4">
                  <c:v>3358.5002660479186</c:v>
                </c:pt>
                <c:pt idx="5">
                  <c:v>2990.9753116455367</c:v>
                </c:pt>
                <c:pt idx="6">
                  <c:v>2645.6148240389393</c:v>
                </c:pt>
                <c:pt idx="7">
                  <c:v>2364.0743750114384</c:v>
                </c:pt>
                <c:pt idx="8">
                  <c:v>2180.3118978102475</c:v>
                </c:pt>
                <c:pt idx="9">
                  <c:v>2116.4918592311515</c:v>
                </c:pt>
                <c:pt idx="10">
                  <c:v>2180.3118978102475</c:v>
                </c:pt>
                <c:pt idx="11">
                  <c:v>2364.0743750114384</c:v>
                </c:pt>
                <c:pt idx="12">
                  <c:v>2645.6148240389389</c:v>
                </c:pt>
                <c:pt idx="13">
                  <c:v>2990.9753116455367</c:v>
                </c:pt>
                <c:pt idx="14">
                  <c:v>3358.5002660479186</c:v>
                </c:pt>
                <c:pt idx="15">
                  <c:v>3703.8607536545155</c:v>
                </c:pt>
                <c:pt idx="16">
                  <c:v>3985.4012026820164</c:v>
                </c:pt>
                <c:pt idx="17">
                  <c:v>4169.1636798832078</c:v>
                </c:pt>
                <c:pt idx="18">
                  <c:v>4232.9837184623029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52896"/>
        <c:axId val="169154816"/>
      </c:scatterChart>
      <c:valAx>
        <c:axId val="169152896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Angle 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9154816"/>
        <c:crosses val="autoZero"/>
        <c:crossBetween val="midCat"/>
        <c:majorUnit val="30"/>
      </c:valAx>
      <c:valAx>
        <c:axId val="16915481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6915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Mie Scattering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Mie!$B$10:$B$30</c:f>
              <c:numCache>
                <c:formatCode>General</c:formatCode>
                <c:ptCount val="21"/>
                <c:pt idx="0">
                  <c:v>20</c:v>
                </c:pt>
                <c:pt idx="1">
                  <c:v>69</c:v>
                </c:pt>
                <c:pt idx="2">
                  <c:v>118</c:v>
                </c:pt>
                <c:pt idx="3">
                  <c:v>167</c:v>
                </c:pt>
                <c:pt idx="4">
                  <c:v>216</c:v>
                </c:pt>
                <c:pt idx="5">
                  <c:v>265</c:v>
                </c:pt>
                <c:pt idx="6">
                  <c:v>314</c:v>
                </c:pt>
                <c:pt idx="7">
                  <c:v>363</c:v>
                </c:pt>
                <c:pt idx="8">
                  <c:v>412</c:v>
                </c:pt>
                <c:pt idx="9">
                  <c:v>461</c:v>
                </c:pt>
                <c:pt idx="10">
                  <c:v>510</c:v>
                </c:pt>
                <c:pt idx="11">
                  <c:v>559</c:v>
                </c:pt>
                <c:pt idx="12">
                  <c:v>608</c:v>
                </c:pt>
                <c:pt idx="13">
                  <c:v>657</c:v>
                </c:pt>
                <c:pt idx="14">
                  <c:v>706</c:v>
                </c:pt>
                <c:pt idx="15">
                  <c:v>755</c:v>
                </c:pt>
                <c:pt idx="16">
                  <c:v>804</c:v>
                </c:pt>
                <c:pt idx="17">
                  <c:v>853</c:v>
                </c:pt>
                <c:pt idx="18">
                  <c:v>902</c:v>
                </c:pt>
                <c:pt idx="19">
                  <c:v>951</c:v>
                </c:pt>
                <c:pt idx="20">
                  <c:v>1000</c:v>
                </c:pt>
              </c:numCache>
            </c:numRef>
          </c:xVal>
          <c:yVal>
            <c:numRef>
              <c:f>Mie!$F$10:$F$30</c:f>
              <c:numCache>
                <c:formatCode>0.00</c:formatCode>
                <c:ptCount val="21"/>
                <c:pt idx="0">
                  <c:v>3.1472079042082601E-2</c:v>
                </c:pt>
                <c:pt idx="1">
                  <c:v>0.36050424261767899</c:v>
                </c:pt>
                <c:pt idx="2">
                  <c:v>0.97225340184790321</c:v>
                </c:pt>
                <c:pt idx="3">
                  <c:v>1.718992963087991</c:v>
                </c:pt>
                <c:pt idx="4">
                  <c:v>2.4263799543250419</c:v>
                </c:pt>
                <c:pt idx="5">
                  <c:v>2.9400916161510233</c:v>
                </c:pt>
                <c:pt idx="6">
                  <c:v>3.1653122367758848</c:v>
                </c:pt>
                <c:pt idx="7">
                  <c:v>3.0880464462266484</c:v>
                </c:pt>
                <c:pt idx="8">
                  <c:v>2.7728948528650093</c:v>
                </c:pt>
                <c:pt idx="9">
                  <c:v>2.3390398911858163</c:v>
                </c:pt>
                <c:pt idx="10">
                  <c:v>1.9225428113052232</c:v>
                </c:pt>
                <c:pt idx="11">
                  <c:v>1.6367247106778045</c:v>
                </c:pt>
                <c:pt idx="12">
                  <c:v>1.5423601896024921</c:v>
                </c:pt>
                <c:pt idx="13">
                  <c:v>1.6358063911939402</c:v>
                </c:pt>
                <c:pt idx="14">
                  <c:v>1.8572844549949539</c:v>
                </c:pt>
                <c:pt idx="15">
                  <c:v>2.1152592865708808</c:v>
                </c:pt>
                <c:pt idx="16">
                  <c:v>2.3181982971405239</c:v>
                </c:pt>
                <c:pt idx="17">
                  <c:v>2.4033105676449034</c:v>
                </c:pt>
                <c:pt idx="18">
                  <c:v>2.3535468039986291</c:v>
                </c:pt>
                <c:pt idx="19">
                  <c:v>2.1984637065225803</c:v>
                </c:pt>
                <c:pt idx="20">
                  <c:v>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84480"/>
        <c:axId val="170890752"/>
      </c:scatterChart>
      <c:valAx>
        <c:axId val="17088448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λ </a:t>
                </a:r>
                <a:r>
                  <a:rPr lang="en-US"/>
                  <a:t>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0890752"/>
        <c:crosses val="autoZero"/>
        <c:crossBetween val="midCat"/>
      </c:valAx>
      <c:valAx>
        <c:axId val="170890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Scattering Q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88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7" Type="http://schemas.openxmlformats.org/officeDocument/2006/relationships/image" Target="../media/image24.png"/><Relationship Id="rId2" Type="http://schemas.openxmlformats.org/officeDocument/2006/relationships/image" Target="../media/image19.png"/><Relationship Id="rId1" Type="http://schemas.openxmlformats.org/officeDocument/2006/relationships/chart" Target="../charts/chart15.xml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5" Type="http://schemas.openxmlformats.org/officeDocument/2006/relationships/image" Target="../media/image30.png"/><Relationship Id="rId4" Type="http://schemas.openxmlformats.org/officeDocument/2006/relationships/image" Target="../media/image29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png"/><Relationship Id="rId2" Type="http://schemas.openxmlformats.org/officeDocument/2006/relationships/image" Target="../media/image31.png"/><Relationship Id="rId1" Type="http://schemas.openxmlformats.org/officeDocument/2006/relationships/chart" Target="../charts/chart18.xml"/><Relationship Id="rId6" Type="http://schemas.openxmlformats.org/officeDocument/2006/relationships/chart" Target="../charts/chart19.xml"/><Relationship Id="rId5" Type="http://schemas.openxmlformats.org/officeDocument/2006/relationships/image" Target="../media/image34.png"/><Relationship Id="rId4" Type="http://schemas.openxmlformats.org/officeDocument/2006/relationships/image" Target="../media/image3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png"/><Relationship Id="rId2" Type="http://schemas.openxmlformats.org/officeDocument/2006/relationships/image" Target="../media/image35.png"/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11.xml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7</xdr:col>
      <xdr:colOff>580800</xdr:colOff>
      <xdr:row>6</xdr:row>
      <xdr:rowOff>114191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381000"/>
          <a:ext cx="1800000" cy="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8</xdr:col>
      <xdr:colOff>333105</xdr:colOff>
      <xdr:row>11</xdr:row>
      <xdr:rowOff>171357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1524000"/>
          <a:ext cx="2161905" cy="742857"/>
        </a:xfrm>
        <a:prstGeom prst="rect">
          <a:avLst/>
        </a:prstGeom>
      </xdr:spPr>
    </xdr:pic>
    <xdr:clientData/>
  </xdr:twoCellAnchor>
  <xdr:twoCellAnchor>
    <xdr:from>
      <xdr:col>12</xdr:col>
      <xdr:colOff>361950</xdr:colOff>
      <xdr:row>4</xdr:row>
      <xdr:rowOff>0</xdr:rowOff>
    </xdr:from>
    <xdr:to>
      <xdr:col>20</xdr:col>
      <xdr:colOff>57150</xdr:colOff>
      <xdr:row>19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25</xdr:row>
      <xdr:rowOff>180975</xdr:rowOff>
    </xdr:from>
    <xdr:to>
      <xdr:col>15</xdr:col>
      <xdr:colOff>228360</xdr:colOff>
      <xdr:row>28</xdr:row>
      <xdr:rowOff>190427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4752975"/>
          <a:ext cx="1923810" cy="5809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6</xdr:row>
      <xdr:rowOff>133350</xdr:rowOff>
    </xdr:from>
    <xdr:to>
      <xdr:col>9</xdr:col>
      <xdr:colOff>76025</xdr:colOff>
      <xdr:row>9</xdr:row>
      <xdr:rowOff>38041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1276350"/>
          <a:ext cx="1400000" cy="4761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66675</xdr:rowOff>
    </xdr:from>
    <xdr:to>
      <xdr:col>14</xdr:col>
      <xdr:colOff>294631</xdr:colOff>
      <xdr:row>24</xdr:row>
      <xdr:rowOff>189961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447675"/>
          <a:ext cx="5152381" cy="43142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6</xdr:row>
      <xdr:rowOff>157161</xdr:rowOff>
    </xdr:from>
    <xdr:to>
      <xdr:col>14</xdr:col>
      <xdr:colOff>190500</xdr:colOff>
      <xdr:row>24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21</xdr:row>
      <xdr:rowOff>28575</xdr:rowOff>
    </xdr:from>
    <xdr:to>
      <xdr:col>17</xdr:col>
      <xdr:colOff>161925</xdr:colOff>
      <xdr:row>39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6</xdr:col>
      <xdr:colOff>742950</xdr:colOff>
      <xdr:row>21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4000500"/>
          <a:ext cx="15811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15</xdr:row>
      <xdr:rowOff>104775</xdr:rowOff>
    </xdr:from>
    <xdr:to>
      <xdr:col>8</xdr:col>
      <xdr:colOff>419100</xdr:colOff>
      <xdr:row>17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105150"/>
          <a:ext cx="32004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7</xdr:col>
      <xdr:colOff>266700</xdr:colOff>
      <xdr:row>19</xdr:row>
      <xdr:rowOff>47625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619500"/>
          <a:ext cx="20002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13</xdr:row>
      <xdr:rowOff>47625</xdr:rowOff>
    </xdr:from>
    <xdr:to>
      <xdr:col>9</xdr:col>
      <xdr:colOff>590550</xdr:colOff>
      <xdr:row>15</xdr:row>
      <xdr:rowOff>180975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667000"/>
          <a:ext cx="41719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4</xdr:col>
      <xdr:colOff>571500</xdr:colOff>
      <xdr:row>11</xdr:row>
      <xdr:rowOff>114300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552575"/>
          <a:ext cx="13716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571500</xdr:colOff>
      <xdr:row>0</xdr:row>
      <xdr:rowOff>76200</xdr:rowOff>
    </xdr:from>
    <xdr:to>
      <xdr:col>4</xdr:col>
      <xdr:colOff>428625</xdr:colOff>
      <xdr:row>3</xdr:row>
      <xdr:rowOff>171450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76200"/>
          <a:ext cx="12668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22</xdr:col>
      <xdr:colOff>304800</xdr:colOff>
      <xdr:row>29</xdr:row>
      <xdr:rowOff>185738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13</xdr:row>
      <xdr:rowOff>52387</xdr:rowOff>
    </xdr:from>
    <xdr:to>
      <xdr:col>10</xdr:col>
      <xdr:colOff>542925</xdr:colOff>
      <xdr:row>27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9525</xdr:rowOff>
    </xdr:from>
    <xdr:to>
      <xdr:col>7</xdr:col>
      <xdr:colOff>333273</xdr:colOff>
      <xdr:row>5</xdr:row>
      <xdr:rowOff>142811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771525"/>
          <a:ext cx="819048" cy="5142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9525</xdr:rowOff>
    </xdr:from>
    <xdr:to>
      <xdr:col>8</xdr:col>
      <xdr:colOff>571352</xdr:colOff>
      <xdr:row>6</xdr:row>
      <xdr:rowOff>152335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771525"/>
          <a:ext cx="1180952" cy="523810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15</xdr:row>
      <xdr:rowOff>76200</xdr:rowOff>
    </xdr:from>
    <xdr:to>
      <xdr:col>11</xdr:col>
      <xdr:colOff>399768</xdr:colOff>
      <xdr:row>17</xdr:row>
      <xdr:rowOff>152343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2962275"/>
          <a:ext cx="2257143" cy="4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11</xdr:col>
      <xdr:colOff>323581</xdr:colOff>
      <xdr:row>19</xdr:row>
      <xdr:rowOff>152357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72100" y="3457575"/>
          <a:ext cx="2152381" cy="342857"/>
        </a:xfrm>
        <a:prstGeom prst="rect">
          <a:avLst/>
        </a:prstGeom>
      </xdr:spPr>
    </xdr:pic>
    <xdr:clientData/>
  </xdr:twoCellAnchor>
  <xdr:twoCellAnchor editAs="oneCell">
    <xdr:from>
      <xdr:col>11</xdr:col>
      <xdr:colOff>523875</xdr:colOff>
      <xdr:row>17</xdr:row>
      <xdr:rowOff>114300</xdr:rowOff>
    </xdr:from>
    <xdr:to>
      <xdr:col>14</xdr:col>
      <xdr:colOff>9361</xdr:colOff>
      <xdr:row>20</xdr:row>
      <xdr:rowOff>95181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24775" y="3381375"/>
          <a:ext cx="1314286" cy="5523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38019</xdr:colOff>
      <xdr:row>13</xdr:row>
      <xdr:rowOff>104714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3000" y="2095500"/>
          <a:ext cx="647619" cy="4857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11</xdr:row>
      <xdr:rowOff>0</xdr:rowOff>
    </xdr:from>
    <xdr:to>
      <xdr:col>18</xdr:col>
      <xdr:colOff>495299</xdr:colOff>
      <xdr:row>31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219075</xdr:colOff>
      <xdr:row>3</xdr:row>
      <xdr:rowOff>104775</xdr:rowOff>
    </xdr:from>
    <xdr:to>
      <xdr:col>13</xdr:col>
      <xdr:colOff>18847</xdr:colOff>
      <xdr:row>7</xdr:row>
      <xdr:rowOff>47532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676275"/>
          <a:ext cx="1628572" cy="742857"/>
        </a:xfrm>
        <a:prstGeom prst="rect">
          <a:avLst/>
        </a:prstGeom>
      </xdr:spPr>
    </xdr:pic>
    <xdr:clientData/>
  </xdr:twoCellAnchor>
  <xdr:twoCellAnchor editAs="oneCell">
    <xdr:from>
      <xdr:col>16</xdr:col>
      <xdr:colOff>85725</xdr:colOff>
      <xdr:row>4</xdr:row>
      <xdr:rowOff>76200</xdr:rowOff>
    </xdr:from>
    <xdr:to>
      <xdr:col>19</xdr:col>
      <xdr:colOff>571211</xdr:colOff>
      <xdr:row>6</xdr:row>
      <xdr:rowOff>114248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9850" y="876300"/>
          <a:ext cx="2314286" cy="419048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4</xdr:row>
      <xdr:rowOff>28575</xdr:rowOff>
    </xdr:from>
    <xdr:to>
      <xdr:col>15</xdr:col>
      <xdr:colOff>523693</xdr:colOff>
      <xdr:row>7</xdr:row>
      <xdr:rowOff>104694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1075" y="828675"/>
          <a:ext cx="1457143" cy="647619"/>
        </a:xfrm>
        <a:prstGeom prst="rect">
          <a:avLst/>
        </a:prstGeom>
      </xdr:spPr>
    </xdr:pic>
    <xdr:clientData/>
  </xdr:twoCellAnchor>
  <xdr:twoCellAnchor editAs="oneCell">
    <xdr:from>
      <xdr:col>11</xdr:col>
      <xdr:colOff>561975</xdr:colOff>
      <xdr:row>7</xdr:row>
      <xdr:rowOff>28575</xdr:rowOff>
    </xdr:from>
    <xdr:to>
      <xdr:col>14</xdr:col>
      <xdr:colOff>66508</xdr:colOff>
      <xdr:row>10</xdr:row>
      <xdr:rowOff>161837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58100" y="1400175"/>
          <a:ext cx="1333333" cy="704762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11</xdr:row>
      <xdr:rowOff>0</xdr:rowOff>
    </xdr:from>
    <xdr:to>
      <xdr:col>27</xdr:col>
      <xdr:colOff>314325</xdr:colOff>
      <xdr:row>31</xdr:row>
      <xdr:rowOff>95249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10</xdr:row>
      <xdr:rowOff>61912</xdr:rowOff>
    </xdr:from>
    <xdr:to>
      <xdr:col>14</xdr:col>
      <xdr:colOff>361950</xdr:colOff>
      <xdr:row>24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3</xdr:row>
      <xdr:rowOff>33337</xdr:rowOff>
    </xdr:from>
    <xdr:to>
      <xdr:col>16</xdr:col>
      <xdr:colOff>504824</xdr:colOff>
      <xdr:row>17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21</xdr:row>
      <xdr:rowOff>0</xdr:rowOff>
    </xdr:from>
    <xdr:to>
      <xdr:col>16</xdr:col>
      <xdr:colOff>590550</xdr:colOff>
      <xdr:row>35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11</xdr:row>
      <xdr:rowOff>128586</xdr:rowOff>
    </xdr:from>
    <xdr:to>
      <xdr:col>17</xdr:col>
      <xdr:colOff>295275</xdr:colOff>
      <xdr:row>29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266700</xdr:colOff>
      <xdr:row>4</xdr:row>
      <xdr:rowOff>76200</xdr:rowOff>
    </xdr:from>
    <xdr:to>
      <xdr:col>13</xdr:col>
      <xdr:colOff>456948</xdr:colOff>
      <xdr:row>7</xdr:row>
      <xdr:rowOff>171362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876300"/>
          <a:ext cx="2019048" cy="7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7</xdr:row>
      <xdr:rowOff>161925</xdr:rowOff>
    </xdr:from>
    <xdr:to>
      <xdr:col>13</xdr:col>
      <xdr:colOff>352194</xdr:colOff>
      <xdr:row>10</xdr:row>
      <xdr:rowOff>209473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7525" y="1571625"/>
          <a:ext cx="1847619" cy="6190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2</xdr:row>
      <xdr:rowOff>76200</xdr:rowOff>
    </xdr:from>
    <xdr:to>
      <xdr:col>10</xdr:col>
      <xdr:colOff>314122</xdr:colOff>
      <xdr:row>5</xdr:row>
      <xdr:rowOff>133271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457200"/>
          <a:ext cx="1628572" cy="628571"/>
        </a:xfrm>
        <a:prstGeom prst="rect">
          <a:avLst/>
        </a:prstGeom>
      </xdr:spPr>
    </xdr:pic>
    <xdr:clientData/>
  </xdr:twoCellAnchor>
  <xdr:twoCellAnchor>
    <xdr:from>
      <xdr:col>4</xdr:col>
      <xdr:colOff>438150</xdr:colOff>
      <xdr:row>14</xdr:row>
      <xdr:rowOff>100012</xdr:rowOff>
    </xdr:from>
    <xdr:to>
      <xdr:col>11</xdr:col>
      <xdr:colOff>552450</xdr:colOff>
      <xdr:row>28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12</xdr:col>
      <xdr:colOff>237615</xdr:colOff>
      <xdr:row>7</xdr:row>
      <xdr:rowOff>114214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762000"/>
          <a:ext cx="4085715" cy="6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</xdr:row>
      <xdr:rowOff>142876</xdr:rowOff>
    </xdr:from>
    <xdr:to>
      <xdr:col>18</xdr:col>
      <xdr:colOff>9525</xdr:colOff>
      <xdr:row>14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314324</xdr:colOff>
      <xdr:row>14</xdr:row>
      <xdr:rowOff>28576</xdr:rowOff>
    </xdr:from>
    <xdr:to>
      <xdr:col>18</xdr:col>
      <xdr:colOff>19049</xdr:colOff>
      <xdr:row>25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333375</xdr:colOff>
      <xdr:row>26</xdr:row>
      <xdr:rowOff>9525</xdr:rowOff>
    </xdr:from>
    <xdr:to>
      <xdr:col>18</xdr:col>
      <xdr:colOff>19050</xdr:colOff>
      <xdr:row>37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342900</xdr:colOff>
      <xdr:row>38</xdr:row>
      <xdr:rowOff>0</xdr:rowOff>
    </xdr:from>
    <xdr:to>
      <xdr:col>18</xdr:col>
      <xdr:colOff>28575</xdr:colOff>
      <xdr:row>49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9</xdr:row>
      <xdr:rowOff>90486</xdr:rowOff>
    </xdr:from>
    <xdr:to>
      <xdr:col>16</xdr:col>
      <xdr:colOff>133350</xdr:colOff>
      <xdr:row>27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552076</xdr:colOff>
      <xdr:row>5</xdr:row>
      <xdr:rowOff>57048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190500"/>
          <a:ext cx="2990476" cy="8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12</xdr:row>
      <xdr:rowOff>33337</xdr:rowOff>
    </xdr:from>
    <xdr:to>
      <xdr:col>14</xdr:col>
      <xdr:colOff>190500</xdr:colOff>
      <xdr:row>26</xdr:row>
      <xdr:rowOff>109537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171450</xdr:colOff>
      <xdr:row>2</xdr:row>
      <xdr:rowOff>66675</xdr:rowOff>
    </xdr:from>
    <xdr:to>
      <xdr:col>12</xdr:col>
      <xdr:colOff>342498</xdr:colOff>
      <xdr:row>5</xdr:row>
      <xdr:rowOff>123746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8675" y="447675"/>
          <a:ext cx="3219048" cy="6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6</xdr:row>
      <xdr:rowOff>76200</xdr:rowOff>
    </xdr:from>
    <xdr:to>
      <xdr:col>9</xdr:col>
      <xdr:colOff>466548</xdr:colOff>
      <xdr:row>9</xdr:row>
      <xdr:rowOff>161843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33925" y="1219200"/>
          <a:ext cx="1419048" cy="6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</xdr:row>
      <xdr:rowOff>76200</xdr:rowOff>
    </xdr:from>
    <xdr:to>
      <xdr:col>7</xdr:col>
      <xdr:colOff>133151</xdr:colOff>
      <xdr:row>5</xdr:row>
      <xdr:rowOff>9452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57200"/>
          <a:ext cx="1590476" cy="5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285631</xdr:colOff>
      <xdr:row>7</xdr:row>
      <xdr:rowOff>180905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1028700"/>
          <a:ext cx="952381" cy="56190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14</xdr:col>
      <xdr:colOff>199924</xdr:colOff>
      <xdr:row>6</xdr:row>
      <xdr:rowOff>152357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62950" y="1028700"/>
          <a:ext cx="809524" cy="342857"/>
        </a:xfrm>
        <a:prstGeom prst="rect">
          <a:avLst/>
        </a:prstGeom>
      </xdr:spPr>
    </xdr:pic>
    <xdr:clientData/>
  </xdr:twoCellAnchor>
  <xdr:twoCellAnchor>
    <xdr:from>
      <xdr:col>13</xdr:col>
      <xdr:colOff>342900</xdr:colOff>
      <xdr:row>22</xdr:row>
      <xdr:rowOff>104774</xdr:rowOff>
    </xdr:from>
    <xdr:to>
      <xdr:col>21</xdr:col>
      <xdr:colOff>38100</xdr:colOff>
      <xdr:row>43</xdr:row>
      <xdr:rowOff>95249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17</xdr:col>
      <xdr:colOff>274941</xdr:colOff>
      <xdr:row>39</xdr:row>
      <xdr:rowOff>161572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72000"/>
          <a:ext cx="10276191" cy="2828572"/>
        </a:xfrm>
        <a:prstGeom prst="rect">
          <a:avLst/>
        </a:prstGeom>
      </xdr:spPr>
    </xdr:pic>
    <xdr:clientData/>
  </xdr:twoCellAnchor>
  <xdr:twoCellAnchor>
    <xdr:from>
      <xdr:col>5</xdr:col>
      <xdr:colOff>57150</xdr:colOff>
      <xdr:row>6</xdr:row>
      <xdr:rowOff>4762</xdr:rowOff>
    </xdr:from>
    <xdr:to>
      <xdr:col>12</xdr:col>
      <xdr:colOff>361950</xdr:colOff>
      <xdr:row>20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304305</xdr:colOff>
      <xdr:row>5</xdr:row>
      <xdr:rowOff>18976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34050" y="190500"/>
          <a:ext cx="3961905" cy="590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1</xdr:row>
      <xdr:rowOff>123825</xdr:rowOff>
    </xdr:from>
    <xdr:to>
      <xdr:col>16</xdr:col>
      <xdr:colOff>542924</xdr:colOff>
      <xdr:row>19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19</xdr:row>
      <xdr:rowOff>66675</xdr:rowOff>
    </xdr:from>
    <xdr:to>
      <xdr:col>16</xdr:col>
      <xdr:colOff>581025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323850</xdr:colOff>
      <xdr:row>3</xdr:row>
      <xdr:rowOff>152400</xdr:rowOff>
    </xdr:from>
    <xdr:to>
      <xdr:col>22</xdr:col>
      <xdr:colOff>180340</xdr:colOff>
      <xdr:row>9</xdr:row>
      <xdr:rowOff>8890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53725" y="533400"/>
          <a:ext cx="2904490" cy="99949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</xdr:row>
      <xdr:rowOff>0</xdr:rowOff>
    </xdr:from>
    <xdr:to>
      <xdr:col>19</xdr:col>
      <xdr:colOff>133257</xdr:colOff>
      <xdr:row>14</xdr:row>
      <xdr:rowOff>133286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39475" y="1905000"/>
          <a:ext cx="742857" cy="51428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18</xdr:row>
      <xdr:rowOff>0</xdr:rowOff>
    </xdr:from>
    <xdr:to>
      <xdr:col>21</xdr:col>
      <xdr:colOff>247391</xdr:colOff>
      <xdr:row>21</xdr:row>
      <xdr:rowOff>114214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39475" y="2857500"/>
          <a:ext cx="2076191" cy="685714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152401</xdr:colOff>
      <xdr:row>22</xdr:row>
      <xdr:rowOff>104775</xdr:rowOff>
    </xdr:from>
    <xdr:to>
      <xdr:col>24</xdr:col>
      <xdr:colOff>479967</xdr:colOff>
      <xdr:row>26</xdr:row>
      <xdr:rowOff>171450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2276" y="3724275"/>
          <a:ext cx="459476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even@stevenabbott.co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abSelected="1" workbookViewId="0">
      <selection activeCell="B1" sqref="B1"/>
    </sheetView>
  </sheetViews>
  <sheetFormatPr defaultRowHeight="15" x14ac:dyDescent="0.25"/>
  <sheetData>
    <row r="2" spans="2:2" x14ac:dyDescent="0.25">
      <c r="B2" t="s">
        <v>735</v>
      </c>
    </row>
    <row r="3" spans="2:2" x14ac:dyDescent="0.25">
      <c r="B3" s="14" t="s">
        <v>732</v>
      </c>
    </row>
    <row r="4" spans="2:2" x14ac:dyDescent="0.25">
      <c r="B4" t="s">
        <v>733</v>
      </c>
    </row>
    <row r="5" spans="2:2" x14ac:dyDescent="0.25">
      <c r="B5" t="s">
        <v>734</v>
      </c>
    </row>
    <row r="7" spans="2:2" x14ac:dyDescent="0.25">
      <c r="B7" t="s">
        <v>738</v>
      </c>
    </row>
    <row r="9" spans="2:2" x14ac:dyDescent="0.25">
      <c r="B9" t="s">
        <v>736</v>
      </c>
    </row>
    <row r="10" spans="2:2" x14ac:dyDescent="0.25">
      <c r="B10" s="51" t="s">
        <v>737</v>
      </c>
    </row>
  </sheetData>
  <hyperlinks>
    <hyperlink ref="B10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zoomScaleNormal="100" workbookViewId="0">
      <selection activeCell="C1" sqref="C1"/>
    </sheetView>
  </sheetViews>
  <sheetFormatPr defaultRowHeight="15" x14ac:dyDescent="0.25"/>
  <cols>
    <col min="3" max="3" width="10.140625" bestFit="1" customWidth="1"/>
  </cols>
  <sheetData>
    <row r="1" spans="2:6" x14ac:dyDescent="0.25">
      <c r="C1" s="14" t="s">
        <v>725</v>
      </c>
    </row>
    <row r="2" spans="2:6" x14ac:dyDescent="0.25">
      <c r="B2" t="s">
        <v>97</v>
      </c>
      <c r="C2" s="2">
        <v>1</v>
      </c>
    </row>
    <row r="3" spans="2:6" x14ac:dyDescent="0.25">
      <c r="B3" t="s">
        <v>98</v>
      </c>
      <c r="C3" s="2">
        <v>0.01</v>
      </c>
    </row>
    <row r="5" spans="2:6" x14ac:dyDescent="0.25">
      <c r="B5" t="s">
        <v>567</v>
      </c>
      <c r="C5" t="s">
        <v>100</v>
      </c>
      <c r="D5" t="s">
        <v>99</v>
      </c>
      <c r="E5" t="s">
        <v>101</v>
      </c>
      <c r="F5" t="s">
        <v>102</v>
      </c>
    </row>
    <row r="6" spans="2:6" x14ac:dyDescent="0.25">
      <c r="C6" s="2">
        <v>-0.5</v>
      </c>
      <c r="D6" s="2">
        <v>0</v>
      </c>
      <c r="E6" s="2">
        <v>1</v>
      </c>
      <c r="F6">
        <f>$C$2/($C$3)</f>
        <v>100</v>
      </c>
    </row>
    <row r="7" spans="2:6" x14ac:dyDescent="0.25">
      <c r="B7">
        <v>0</v>
      </c>
      <c r="C7" s="4">
        <f>(1-$B7/100)/(1+0.5*$F$6*$B7/100*(0.666*(C$6+0.5)))</f>
        <v>1</v>
      </c>
      <c r="D7" s="4">
        <f t="shared" ref="D7:E14" si="0">(1-$B7/100)/(1+0.5*$F$6*$B7/100*(0.666*(D$6+0.5)))</f>
        <v>1</v>
      </c>
      <c r="E7" s="4">
        <f t="shared" si="0"/>
        <v>1</v>
      </c>
    </row>
    <row r="8" spans="2:6" x14ac:dyDescent="0.25">
      <c r="B8">
        <v>1</v>
      </c>
      <c r="C8" s="4">
        <f>(1-$B8/100)/(1+0.5*$F$6*$B8/100*(0.666*(C$6+0.5)))</f>
        <v>0.99</v>
      </c>
      <c r="D8" s="4">
        <f t="shared" si="0"/>
        <v>0.84869267038148299</v>
      </c>
      <c r="E8" s="4">
        <f t="shared" si="0"/>
        <v>0.66022007335778587</v>
      </c>
    </row>
    <row r="9" spans="2:6" x14ac:dyDescent="0.25">
      <c r="B9">
        <v>2</v>
      </c>
      <c r="C9" s="4">
        <f t="shared" ref="C9:C14" si="1">(1-$B9/100)/(1+0.5*$F$6*$B9/100*(0.666*(C$6+0.5)))</f>
        <v>0.98</v>
      </c>
      <c r="D9" s="4">
        <f t="shared" si="0"/>
        <v>0.73518379594898731</v>
      </c>
      <c r="E9" s="4">
        <f t="shared" si="0"/>
        <v>0.49024512256128061</v>
      </c>
    </row>
    <row r="10" spans="2:6" x14ac:dyDescent="0.25">
      <c r="B10">
        <v>4</v>
      </c>
      <c r="C10" s="4">
        <f t="shared" si="1"/>
        <v>0.96</v>
      </c>
      <c r="D10" s="4">
        <f t="shared" si="0"/>
        <v>0.57623049219687872</v>
      </c>
      <c r="E10" s="4">
        <f t="shared" si="0"/>
        <v>0.32021347565043357</v>
      </c>
    </row>
    <row r="11" spans="2:6" x14ac:dyDescent="0.25">
      <c r="B11">
        <v>8</v>
      </c>
      <c r="C11" s="4">
        <f t="shared" si="1"/>
        <v>0.92</v>
      </c>
      <c r="D11" s="4">
        <f t="shared" si="0"/>
        <v>0.39451114922813041</v>
      </c>
      <c r="E11" s="4">
        <f t="shared" si="0"/>
        <v>0.18414731785428343</v>
      </c>
    </row>
    <row r="12" spans="2:6" x14ac:dyDescent="0.25">
      <c r="B12">
        <v>16</v>
      </c>
      <c r="C12" s="4">
        <f t="shared" si="1"/>
        <v>0.84</v>
      </c>
      <c r="D12" s="4">
        <f t="shared" si="0"/>
        <v>0.22925764192139736</v>
      </c>
      <c r="E12" s="4">
        <f t="shared" si="0"/>
        <v>9.3416370106761557E-2</v>
      </c>
    </row>
    <row r="13" spans="2:6" x14ac:dyDescent="0.25">
      <c r="B13">
        <v>32</v>
      </c>
      <c r="C13" s="4">
        <f t="shared" si="1"/>
        <v>0.67999999999999994</v>
      </c>
      <c r="D13" s="4">
        <f t="shared" si="0"/>
        <v>0.10745891276864726</v>
      </c>
      <c r="E13" s="4">
        <f t="shared" si="0"/>
        <v>4.0037682524729147E-2</v>
      </c>
    </row>
    <row r="14" spans="2:6" x14ac:dyDescent="0.25">
      <c r="B14">
        <v>64</v>
      </c>
      <c r="C14" s="4">
        <f t="shared" si="1"/>
        <v>0.36</v>
      </c>
      <c r="D14" s="4">
        <f t="shared" si="0"/>
        <v>3.0885380919698006E-2</v>
      </c>
      <c r="E14" s="4">
        <f t="shared" si="0"/>
        <v>1.0919679689395776E-2</v>
      </c>
    </row>
    <row r="16" spans="2:6" x14ac:dyDescent="0.25">
      <c r="B16" t="s">
        <v>567</v>
      </c>
      <c r="C16" t="s">
        <v>568</v>
      </c>
      <c r="D16" t="s">
        <v>569</v>
      </c>
      <c r="E16" t="s">
        <v>103</v>
      </c>
      <c r="F16" s="10" t="s">
        <v>104</v>
      </c>
    </row>
    <row r="17" spans="2:6" x14ac:dyDescent="0.25">
      <c r="C17" s="2">
        <v>1</v>
      </c>
      <c r="D17" s="2">
        <v>25</v>
      </c>
      <c r="E17" s="2">
        <v>100</v>
      </c>
      <c r="F17" s="2">
        <v>1</v>
      </c>
    </row>
    <row r="18" spans="2:6" x14ac:dyDescent="0.25">
      <c r="B18">
        <v>0</v>
      </c>
      <c r="C18" s="4">
        <f>(1-$B18/100)/(1+0.5*C$17*$B18/100*(0.666*($F$17+0.5)))</f>
        <v>1</v>
      </c>
      <c r="D18" s="4">
        <f t="shared" ref="D18:E25" si="2">(1-$B18/100)/(1+0.5*D$17*$B18/100*(0.666*($F$17+0.5)))</f>
        <v>1</v>
      </c>
      <c r="E18" s="4">
        <f t="shared" si="2"/>
        <v>1</v>
      </c>
    </row>
    <row r="19" spans="2:6" x14ac:dyDescent="0.25">
      <c r="B19">
        <v>1</v>
      </c>
      <c r="C19" s="4">
        <f>(1-$B19/100)/(1+0.5*C$17*$B19/100*(0.666*($F$17+0.5)))</f>
        <v>0.98507952775884444</v>
      </c>
      <c r="D19" s="4">
        <f t="shared" si="2"/>
        <v>0.88009778864318255</v>
      </c>
      <c r="E19" s="4">
        <f t="shared" si="2"/>
        <v>0.66022007335778587</v>
      </c>
    </row>
    <row r="20" spans="2:6" x14ac:dyDescent="0.25">
      <c r="B20">
        <v>2</v>
      </c>
      <c r="C20" s="4">
        <f t="shared" ref="C20:C25" si="3">(1-$B20/100)/(1+0.5*C$17*$B20/100*(0.666*($F$17+0.5)))</f>
        <v>0.97030663669937334</v>
      </c>
      <c r="D20" s="4">
        <f t="shared" si="2"/>
        <v>0.78415683136627312</v>
      </c>
      <c r="E20" s="4">
        <f t="shared" si="2"/>
        <v>0.49024512256128061</v>
      </c>
    </row>
    <row r="21" spans="2:6" x14ac:dyDescent="0.25">
      <c r="B21">
        <v>4</v>
      </c>
      <c r="C21" s="4">
        <f t="shared" si="3"/>
        <v>0.94119492539069383</v>
      </c>
      <c r="D21" s="4">
        <f t="shared" si="2"/>
        <v>0.640213404468156</v>
      </c>
      <c r="E21" s="4">
        <f t="shared" si="2"/>
        <v>0.32021347565043357</v>
      </c>
    </row>
    <row r="22" spans="2:6" x14ac:dyDescent="0.25">
      <c r="B22">
        <v>6</v>
      </c>
      <c r="C22" s="4">
        <f t="shared" si="3"/>
        <v>0.91264794120217085</v>
      </c>
      <c r="D22" s="4">
        <f t="shared" si="2"/>
        <v>0.53737315992568246</v>
      </c>
      <c r="E22" s="4">
        <f t="shared" si="2"/>
        <v>0.235176382286715</v>
      </c>
    </row>
    <row r="23" spans="2:6" x14ac:dyDescent="0.25">
      <c r="B23">
        <v>8</v>
      </c>
      <c r="C23" s="4">
        <f t="shared" si="3"/>
        <v>0.88464940959267668</v>
      </c>
      <c r="D23" s="4">
        <f t="shared" si="2"/>
        <v>0.46023011505752875</v>
      </c>
      <c r="E23" s="4">
        <f t="shared" si="2"/>
        <v>0.18414731785428343</v>
      </c>
    </row>
    <row r="24" spans="2:6" x14ac:dyDescent="0.25">
      <c r="B24">
        <v>10</v>
      </c>
      <c r="C24" s="4">
        <f t="shared" si="3"/>
        <v>0.85718367541311502</v>
      </c>
      <c r="D24" s="4">
        <f t="shared" si="2"/>
        <v>0.40022234574763754</v>
      </c>
      <c r="E24" s="4">
        <f t="shared" si="2"/>
        <v>0.15012510425354461</v>
      </c>
    </row>
    <row r="25" spans="2:6" x14ac:dyDescent="0.25">
      <c r="B25">
        <v>12</v>
      </c>
      <c r="C25" s="4">
        <f t="shared" si="3"/>
        <v>0.83023567371738016</v>
      </c>
      <c r="D25" s="4">
        <f t="shared" si="2"/>
        <v>0.35221132679607764</v>
      </c>
      <c r="E25" s="4">
        <f t="shared" si="2"/>
        <v>0.12582213325707747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workbookViewId="0">
      <selection activeCell="C1" sqref="C1"/>
    </sheetView>
  </sheetViews>
  <sheetFormatPr defaultRowHeight="15" x14ac:dyDescent="0.25"/>
  <cols>
    <col min="2" max="2" width="13.140625" bestFit="1" customWidth="1"/>
  </cols>
  <sheetData>
    <row r="1" spans="2:8" x14ac:dyDescent="0.25">
      <c r="C1" s="14" t="s">
        <v>726</v>
      </c>
    </row>
    <row r="2" spans="2:8" x14ac:dyDescent="0.25">
      <c r="D2" t="s">
        <v>116</v>
      </c>
      <c r="E2" t="s">
        <v>105</v>
      </c>
      <c r="F2" t="s">
        <v>106</v>
      </c>
      <c r="G2" t="s">
        <v>107</v>
      </c>
    </row>
    <row r="3" spans="2:8" x14ac:dyDescent="0.25">
      <c r="B3" t="s">
        <v>108</v>
      </c>
      <c r="C3" s="2">
        <v>1.0149999999999999</v>
      </c>
      <c r="D3">
        <v>18</v>
      </c>
      <c r="E3">
        <f>C3/D3</f>
        <v>5.6388888888888884E-2</v>
      </c>
      <c r="F3">
        <f>E3/$E$5</f>
        <v>0.83353678836977019</v>
      </c>
      <c r="G3" s="4">
        <f>F3/F4</f>
        <v>5.0073333333333325</v>
      </c>
    </row>
    <row r="4" spans="2:8" x14ac:dyDescent="0.25">
      <c r="B4" t="s">
        <v>117</v>
      </c>
      <c r="C4" s="2">
        <v>5</v>
      </c>
      <c r="D4" s="2">
        <v>444</v>
      </c>
      <c r="E4">
        <f t="shared" ref="E4" si="0">C4/D4</f>
        <v>1.1261261261261261E-2</v>
      </c>
      <c r="F4">
        <f>E4/$E$5</f>
        <v>0.16646321163022973</v>
      </c>
    </row>
    <row r="5" spans="2:8" x14ac:dyDescent="0.25">
      <c r="E5">
        <f>SUM(E3:E4)</f>
        <v>6.7650150150150148E-2</v>
      </c>
      <c r="F5">
        <f>E5/$E$5</f>
        <v>1</v>
      </c>
    </row>
    <row r="6" spans="2:8" x14ac:dyDescent="0.25">
      <c r="B6" t="s">
        <v>118</v>
      </c>
      <c r="D6" s="2">
        <v>1.1000000000000001</v>
      </c>
      <c r="E6" t="s">
        <v>1</v>
      </c>
    </row>
    <row r="7" spans="2:8" x14ac:dyDescent="0.25">
      <c r="B7" t="s">
        <v>126</v>
      </c>
      <c r="D7" s="11">
        <v>4.0999999999999999E-19</v>
      </c>
      <c r="E7" t="s">
        <v>109</v>
      </c>
    </row>
    <row r="9" spans="2:8" x14ac:dyDescent="0.25">
      <c r="B9" t="s">
        <v>119</v>
      </c>
      <c r="C9">
        <f>C4*6.02E+23/D4</f>
        <v>6.7792792792792794E+21</v>
      </c>
      <c r="E9" t="s">
        <v>120</v>
      </c>
    </row>
    <row r="11" spans="2:8" x14ac:dyDescent="0.25">
      <c r="B11" t="s">
        <v>110</v>
      </c>
      <c r="C11">
        <f>C3/1000000</f>
        <v>1.0149999999999998E-6</v>
      </c>
      <c r="D11" t="s">
        <v>111</v>
      </c>
      <c r="E11" t="s">
        <v>112</v>
      </c>
    </row>
    <row r="12" spans="2:8" x14ac:dyDescent="0.25">
      <c r="B12" t="s">
        <v>104</v>
      </c>
      <c r="C12" s="3">
        <f>D7*C9</f>
        <v>2779.5045045045044</v>
      </c>
      <c r="D12" t="s">
        <v>109</v>
      </c>
      <c r="E12" t="s">
        <v>122</v>
      </c>
    </row>
    <row r="14" spans="2:8" x14ac:dyDescent="0.25">
      <c r="B14" t="s">
        <v>0</v>
      </c>
      <c r="C14" s="4">
        <f>3*C11/C12*1000000000</f>
        <v>1.0955190017016447</v>
      </c>
      <c r="D14" t="s">
        <v>1</v>
      </c>
      <c r="E14" t="s">
        <v>123</v>
      </c>
      <c r="H14" t="s">
        <v>113</v>
      </c>
    </row>
    <row r="15" spans="2:8" x14ac:dyDescent="0.25">
      <c r="B15" t="s">
        <v>131</v>
      </c>
      <c r="C15" s="4">
        <f>C14+D6</f>
        <v>2.195519001701645</v>
      </c>
      <c r="D15" t="s">
        <v>1</v>
      </c>
      <c r="E15" t="s">
        <v>121</v>
      </c>
    </row>
    <row r="16" spans="2:8" x14ac:dyDescent="0.25">
      <c r="B16" t="s">
        <v>114</v>
      </c>
      <c r="C16" s="4">
        <f>2*C15</f>
        <v>4.3910380034032901</v>
      </c>
      <c r="D16" t="s">
        <v>1</v>
      </c>
      <c r="E16" t="s">
        <v>115</v>
      </c>
    </row>
    <row r="18" spans="2:5" x14ac:dyDescent="0.25">
      <c r="B18" s="10" t="s">
        <v>130</v>
      </c>
      <c r="C18" t="s">
        <v>0</v>
      </c>
      <c r="D18" t="s">
        <v>114</v>
      </c>
      <c r="E18" t="s">
        <v>128</v>
      </c>
    </row>
    <row r="19" spans="2:5" x14ac:dyDescent="0.25">
      <c r="B19">
        <v>1</v>
      </c>
      <c r="C19" s="4">
        <v>1.33</v>
      </c>
      <c r="D19" s="4">
        <f>2*C19</f>
        <v>2.66</v>
      </c>
      <c r="E19" s="4">
        <f>1.5+0.175*B19</f>
        <v>1.675</v>
      </c>
    </row>
    <row r="20" spans="2:5" x14ac:dyDescent="0.25">
      <c r="B20">
        <v>2</v>
      </c>
      <c r="C20" s="4">
        <v>1.54</v>
      </c>
      <c r="D20" s="4">
        <f t="shared" ref="D20:D23" si="1">2*C20</f>
        <v>3.08</v>
      </c>
      <c r="E20" s="4">
        <f t="shared" ref="E20:E23" si="2">1.5+0.175*B20</f>
        <v>1.85</v>
      </c>
    </row>
    <row r="21" spans="2:5" x14ac:dyDescent="0.25">
      <c r="B21">
        <v>5</v>
      </c>
      <c r="C21" s="4">
        <v>2.2000000000000002</v>
      </c>
      <c r="D21" s="4">
        <f t="shared" si="1"/>
        <v>4.4000000000000004</v>
      </c>
      <c r="E21" s="4">
        <f t="shared" si="2"/>
        <v>2.375</v>
      </c>
    </row>
    <row r="22" spans="2:5" x14ac:dyDescent="0.25">
      <c r="B22">
        <v>10</v>
      </c>
      <c r="C22" s="4">
        <v>3.29</v>
      </c>
      <c r="D22" s="4">
        <f t="shared" si="1"/>
        <v>6.58</v>
      </c>
      <c r="E22" s="4">
        <f t="shared" si="2"/>
        <v>3.25</v>
      </c>
    </row>
    <row r="23" spans="2:5" x14ac:dyDescent="0.25">
      <c r="B23">
        <v>20</v>
      </c>
      <c r="C23" s="4">
        <v>5.48</v>
      </c>
      <c r="D23" s="4">
        <f t="shared" si="1"/>
        <v>10.96</v>
      </c>
      <c r="E23" s="4">
        <f t="shared" si="2"/>
        <v>5</v>
      </c>
    </row>
    <row r="25" spans="2:5" x14ac:dyDescent="0.25">
      <c r="C25" t="s">
        <v>124</v>
      </c>
      <c r="E25" t="s">
        <v>125</v>
      </c>
    </row>
    <row r="26" spans="2:5" x14ac:dyDescent="0.25">
      <c r="C26" t="s">
        <v>127</v>
      </c>
      <c r="E26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C1" sqref="C1"/>
    </sheetView>
  </sheetViews>
  <sheetFormatPr defaultRowHeight="15" x14ac:dyDescent="0.25"/>
  <cols>
    <col min="1" max="1" width="21.7109375" customWidth="1"/>
    <col min="10" max="10" width="12" bestFit="1" customWidth="1"/>
  </cols>
  <sheetData>
    <row r="1" spans="1:12" x14ac:dyDescent="0.25">
      <c r="C1" s="14" t="s">
        <v>727</v>
      </c>
    </row>
    <row r="2" spans="1:12" x14ac:dyDescent="0.25">
      <c r="B2" t="s">
        <v>226</v>
      </c>
      <c r="C2" t="s">
        <v>227</v>
      </c>
      <c r="D2" t="s">
        <v>228</v>
      </c>
      <c r="E2" t="s">
        <v>107</v>
      </c>
      <c r="F2" t="s">
        <v>222</v>
      </c>
      <c r="G2">
        <f>COUNTIF(G9:G103,1)</f>
        <v>11</v>
      </c>
      <c r="I2" t="s">
        <v>231</v>
      </c>
      <c r="J2">
        <v>1000000</v>
      </c>
      <c r="K2" t="s">
        <v>235</v>
      </c>
      <c r="L2">
        <f>COUNTIF(L9:L103,"WO")</f>
        <v>0</v>
      </c>
    </row>
    <row r="3" spans="1:12" x14ac:dyDescent="0.25">
      <c r="B3" s="5">
        <v>18.396490476084068</v>
      </c>
      <c r="C3" s="5">
        <v>9.694534848797959</v>
      </c>
      <c r="D3" s="5">
        <v>7.969569576364445</v>
      </c>
      <c r="E3" s="12">
        <v>7.1</v>
      </c>
      <c r="F3" t="s">
        <v>223</v>
      </c>
      <c r="G3">
        <f>COUNTIF(G9:G103,0)</f>
        <v>11</v>
      </c>
      <c r="I3" t="s">
        <v>232</v>
      </c>
      <c r="J3">
        <f>J9*J2</f>
        <v>1000000</v>
      </c>
      <c r="K3" t="s">
        <v>236</v>
      </c>
      <c r="L3">
        <f>COUNTIF(L9:L103,"WI")</f>
        <v>0</v>
      </c>
    </row>
    <row r="4" spans="1:12" x14ac:dyDescent="0.25">
      <c r="A4" s="5" t="s">
        <v>237</v>
      </c>
      <c r="B4" s="2">
        <v>16</v>
      </c>
      <c r="C4" s="2">
        <v>7</v>
      </c>
      <c r="D4" s="2">
        <v>8</v>
      </c>
      <c r="F4" t="s">
        <v>224</v>
      </c>
      <c r="G4">
        <f>G2+G3</f>
        <v>22</v>
      </c>
      <c r="I4" t="s">
        <v>233</v>
      </c>
      <c r="J4" s="6">
        <f>J3/J2</f>
        <v>1</v>
      </c>
    </row>
    <row r="5" spans="1:12" x14ac:dyDescent="0.25">
      <c r="A5" t="s">
        <v>238</v>
      </c>
      <c r="B5" s="5">
        <f>dD-B4</f>
        <v>2.3964904760840682</v>
      </c>
      <c r="C5" s="5">
        <f>dD-C4</f>
        <v>11.396490476084068</v>
      </c>
      <c r="D5" s="5">
        <f>dD-D4</f>
        <v>10.396490476084068</v>
      </c>
    </row>
    <row r="6" spans="1:12" x14ac:dyDescent="0.25">
      <c r="B6" t="s">
        <v>135</v>
      </c>
      <c r="C6" s="5">
        <f>SQRT(4*(B4-dD)^2+(C4-dP)^2+(D4-dH)^2)</f>
        <v>5.4985553075254101</v>
      </c>
      <c r="D6" t="s">
        <v>234</v>
      </c>
      <c r="E6" s="4">
        <f>C6/R_</f>
        <v>0.77444440951062121</v>
      </c>
      <c r="L6" s="13" t="s">
        <v>239</v>
      </c>
    </row>
    <row r="7" spans="1:12" x14ac:dyDescent="0.25">
      <c r="C7" s="5"/>
      <c r="L7" s="13" t="s">
        <v>240</v>
      </c>
    </row>
    <row r="8" spans="1:12" x14ac:dyDescent="0.25">
      <c r="A8" t="s">
        <v>133</v>
      </c>
      <c r="B8" t="s">
        <v>226</v>
      </c>
      <c r="C8" t="s">
        <v>227</v>
      </c>
      <c r="D8" t="s">
        <v>228</v>
      </c>
      <c r="E8" t="s">
        <v>134</v>
      </c>
      <c r="G8" t="s">
        <v>217</v>
      </c>
      <c r="H8" t="s">
        <v>135</v>
      </c>
      <c r="I8" t="s">
        <v>229</v>
      </c>
      <c r="J8" t="s">
        <v>230</v>
      </c>
      <c r="K8" t="s">
        <v>234</v>
      </c>
    </row>
    <row r="9" spans="1:12" x14ac:dyDescent="0.25">
      <c r="A9" t="s">
        <v>136</v>
      </c>
      <c r="B9">
        <v>15.5</v>
      </c>
      <c r="C9">
        <v>10.4</v>
      </c>
      <c r="D9">
        <v>7</v>
      </c>
      <c r="E9">
        <v>73.8</v>
      </c>
      <c r="G9" s="2">
        <v>1</v>
      </c>
      <c r="H9">
        <f t="shared" ref="H9:H40" si="0">IF(G9&lt;&gt;"",SQRT(4*(B9-dD)^2+(C9-dP)^2+(D9-dH)^2),0)</f>
        <v>5.9157733691508927</v>
      </c>
      <c r="I9">
        <f t="shared" ref="I9:I40" si="1">IF(G9=1,IF(H9&lt;R_,1,EXP(R_-H9)),IF(G9&lt;&gt;"",IF(H9&lt;R_,EXP(H9-R_),1),1))</f>
        <v>1</v>
      </c>
      <c r="J9">
        <f t="shared" ref="J9:J72" si="2">I9*J10</f>
        <v>1</v>
      </c>
      <c r="K9" s="4">
        <f t="shared" ref="K9:K40" si="3">IF(G9&lt;&gt;"",H9/R_,"")</f>
        <v>0.83320751678181593</v>
      </c>
      <c r="L9" t="str">
        <f>IF(G9=1,IF(K9&lt;=1,"","WO"),IF(G9&lt;&gt;"",IF(K9&gt;1,"","WI"),""))</f>
        <v/>
      </c>
    </row>
    <row r="10" spans="1:12" x14ac:dyDescent="0.25">
      <c r="A10" t="s">
        <v>137</v>
      </c>
      <c r="B10">
        <v>15.3</v>
      </c>
      <c r="C10">
        <v>18</v>
      </c>
      <c r="D10">
        <v>6.1</v>
      </c>
      <c r="E10">
        <v>52.9</v>
      </c>
      <c r="G10" s="2">
        <v>0</v>
      </c>
      <c r="H10">
        <f t="shared" si="0"/>
        <v>10.527537929288899</v>
      </c>
      <c r="I10">
        <f t="shared" si="1"/>
        <v>1</v>
      </c>
      <c r="J10">
        <f t="shared" si="2"/>
        <v>1</v>
      </c>
      <c r="K10" s="4">
        <f t="shared" si="3"/>
        <v>1.4827518210266055</v>
      </c>
      <c r="L10" t="str">
        <f t="shared" ref="L10:L73" si="4">IF(G10=1,IF(K10&lt;=1,"","WO"),IF(G10&lt;&gt;"",IF(K10&gt;1,"","WI"),""))</f>
        <v/>
      </c>
    </row>
    <row r="11" spans="1:12" x14ac:dyDescent="0.25">
      <c r="A11" t="s">
        <v>138</v>
      </c>
      <c r="B11">
        <v>15.8</v>
      </c>
      <c r="C11">
        <v>3.3</v>
      </c>
      <c r="D11">
        <v>6.1</v>
      </c>
      <c r="E11">
        <v>148</v>
      </c>
      <c r="G11" s="2"/>
      <c r="H11">
        <f t="shared" si="0"/>
        <v>0</v>
      </c>
      <c r="I11">
        <f t="shared" si="1"/>
        <v>1</v>
      </c>
      <c r="J11">
        <f t="shared" si="2"/>
        <v>1</v>
      </c>
      <c r="K11" s="4" t="str">
        <f t="shared" si="3"/>
        <v/>
      </c>
      <c r="L11" t="str">
        <f t="shared" si="4"/>
        <v/>
      </c>
    </row>
    <row r="12" spans="1:12" x14ac:dyDescent="0.25">
      <c r="A12" t="s">
        <v>139</v>
      </c>
      <c r="B12">
        <v>15.9</v>
      </c>
      <c r="C12">
        <v>5.9</v>
      </c>
      <c r="D12">
        <v>13.9</v>
      </c>
      <c r="E12">
        <v>108.6</v>
      </c>
      <c r="G12" s="2"/>
      <c r="H12">
        <f t="shared" si="0"/>
        <v>0</v>
      </c>
      <c r="I12">
        <f t="shared" si="1"/>
        <v>1</v>
      </c>
      <c r="J12">
        <f t="shared" si="2"/>
        <v>1</v>
      </c>
      <c r="K12" s="4" t="str">
        <f t="shared" si="3"/>
        <v/>
      </c>
      <c r="L12" t="str">
        <f t="shared" si="4"/>
        <v/>
      </c>
    </row>
    <row r="13" spans="1:12" x14ac:dyDescent="0.25">
      <c r="A13" t="s">
        <v>218</v>
      </c>
      <c r="B13">
        <v>18.399999999999999</v>
      </c>
      <c r="C13">
        <v>0</v>
      </c>
      <c r="D13">
        <v>2</v>
      </c>
      <c r="E13">
        <v>52.9</v>
      </c>
      <c r="G13" s="2">
        <v>0</v>
      </c>
      <c r="H13">
        <f t="shared" si="0"/>
        <v>11.385069878074816</v>
      </c>
      <c r="I13">
        <f t="shared" si="1"/>
        <v>1</v>
      </c>
      <c r="J13">
        <f t="shared" si="2"/>
        <v>1</v>
      </c>
      <c r="K13" s="4">
        <f t="shared" si="3"/>
        <v>1.603530968742932</v>
      </c>
      <c r="L13" t="str">
        <f t="shared" si="4"/>
        <v/>
      </c>
    </row>
    <row r="14" spans="1:12" x14ac:dyDescent="0.25">
      <c r="A14" t="s">
        <v>140</v>
      </c>
      <c r="B14">
        <v>18.399999999999999</v>
      </c>
      <c r="C14">
        <v>6.3</v>
      </c>
      <c r="D14">
        <v>13.7</v>
      </c>
      <c r="E14">
        <v>103.8</v>
      </c>
      <c r="G14" s="2"/>
      <c r="H14">
        <f t="shared" si="0"/>
        <v>0</v>
      </c>
      <c r="I14">
        <f t="shared" si="1"/>
        <v>1</v>
      </c>
      <c r="J14">
        <f t="shared" si="2"/>
        <v>1</v>
      </c>
      <c r="K14" s="4" t="str">
        <f t="shared" si="3"/>
        <v/>
      </c>
      <c r="L14" t="str">
        <f t="shared" si="4"/>
        <v/>
      </c>
    </row>
    <row r="15" spans="1:12" x14ac:dyDescent="0.25">
      <c r="A15" t="s">
        <v>141</v>
      </c>
      <c r="B15">
        <v>20</v>
      </c>
      <c r="C15">
        <v>5.0999999999999996</v>
      </c>
      <c r="D15">
        <v>5.2</v>
      </c>
      <c r="E15">
        <v>190.3</v>
      </c>
      <c r="G15" s="2"/>
      <c r="H15">
        <f t="shared" si="0"/>
        <v>0</v>
      </c>
      <c r="I15">
        <f t="shared" si="1"/>
        <v>1</v>
      </c>
      <c r="J15">
        <f t="shared" si="2"/>
        <v>1</v>
      </c>
      <c r="K15" s="4" t="str">
        <f t="shared" si="3"/>
        <v/>
      </c>
      <c r="L15" t="str">
        <f t="shared" si="4"/>
        <v/>
      </c>
    </row>
    <row r="16" spans="1:12" x14ac:dyDescent="0.25">
      <c r="A16" t="s">
        <v>142</v>
      </c>
      <c r="B16">
        <v>16</v>
      </c>
      <c r="C16">
        <v>5.7</v>
      </c>
      <c r="D16">
        <v>15.8</v>
      </c>
      <c r="E16">
        <v>92</v>
      </c>
      <c r="G16" s="2"/>
      <c r="H16">
        <f t="shared" si="0"/>
        <v>0</v>
      </c>
      <c r="I16">
        <f t="shared" si="1"/>
        <v>1</v>
      </c>
      <c r="J16">
        <f t="shared" si="2"/>
        <v>1</v>
      </c>
      <c r="K16" s="4" t="str">
        <f t="shared" si="3"/>
        <v/>
      </c>
      <c r="L16" t="str">
        <f t="shared" si="4"/>
        <v/>
      </c>
    </row>
    <row r="17" spans="1:12" x14ac:dyDescent="0.25">
      <c r="A17" t="s">
        <v>143</v>
      </c>
      <c r="B17">
        <v>15.8</v>
      </c>
      <c r="C17">
        <v>5.7</v>
      </c>
      <c r="D17">
        <v>14.5</v>
      </c>
      <c r="E17">
        <v>92</v>
      </c>
      <c r="G17" s="2"/>
      <c r="H17">
        <f t="shared" si="0"/>
        <v>0</v>
      </c>
      <c r="I17">
        <f t="shared" si="1"/>
        <v>1</v>
      </c>
      <c r="J17">
        <f t="shared" si="2"/>
        <v>1</v>
      </c>
      <c r="K17" s="4" t="str">
        <f t="shared" si="3"/>
        <v/>
      </c>
      <c r="L17" t="str">
        <f t="shared" si="4"/>
        <v/>
      </c>
    </row>
    <row r="18" spans="1:12" x14ac:dyDescent="0.25">
      <c r="A18" t="s">
        <v>144</v>
      </c>
      <c r="B18">
        <v>15.8</v>
      </c>
      <c r="C18">
        <v>3.7</v>
      </c>
      <c r="D18">
        <v>6.3</v>
      </c>
      <c r="E18">
        <v>132.6</v>
      </c>
      <c r="G18" s="2"/>
      <c r="H18">
        <f t="shared" si="0"/>
        <v>0</v>
      </c>
      <c r="I18">
        <f t="shared" si="1"/>
        <v>1</v>
      </c>
      <c r="J18">
        <f t="shared" si="2"/>
        <v>1</v>
      </c>
      <c r="K18" s="4" t="str">
        <f t="shared" si="3"/>
        <v/>
      </c>
      <c r="L18" t="str">
        <f t="shared" si="4"/>
        <v/>
      </c>
    </row>
    <row r="19" spans="1:12" x14ac:dyDescent="0.25">
      <c r="A19" t="s">
        <v>145</v>
      </c>
      <c r="B19">
        <v>15</v>
      </c>
      <c r="C19">
        <v>3.7</v>
      </c>
      <c r="D19">
        <v>6</v>
      </c>
      <c r="E19">
        <v>134.80000000000001</v>
      </c>
      <c r="G19" s="2"/>
      <c r="H19">
        <f t="shared" si="0"/>
        <v>0</v>
      </c>
      <c r="I19">
        <f t="shared" si="1"/>
        <v>1</v>
      </c>
      <c r="J19">
        <f t="shared" si="2"/>
        <v>1</v>
      </c>
      <c r="K19" s="4" t="str">
        <f t="shared" si="3"/>
        <v/>
      </c>
      <c r="L19" t="str">
        <f t="shared" si="4"/>
        <v/>
      </c>
    </row>
    <row r="20" spans="1:12" x14ac:dyDescent="0.25">
      <c r="A20" t="s">
        <v>146</v>
      </c>
      <c r="B20">
        <v>15.2</v>
      </c>
      <c r="C20">
        <v>5.0999999999999996</v>
      </c>
      <c r="D20">
        <v>14.7</v>
      </c>
      <c r="E20">
        <v>96</v>
      </c>
      <c r="G20" s="2"/>
      <c r="H20">
        <f t="shared" si="0"/>
        <v>0</v>
      </c>
      <c r="I20">
        <f t="shared" si="1"/>
        <v>1</v>
      </c>
      <c r="J20">
        <f t="shared" si="2"/>
        <v>1</v>
      </c>
      <c r="K20" s="4" t="str">
        <f t="shared" si="3"/>
        <v/>
      </c>
      <c r="L20" t="str">
        <f t="shared" si="4"/>
        <v/>
      </c>
    </row>
    <row r="21" spans="1:12" x14ac:dyDescent="0.25">
      <c r="A21" t="s">
        <v>147</v>
      </c>
      <c r="B21">
        <v>18.3</v>
      </c>
      <c r="C21">
        <v>5.6</v>
      </c>
      <c r="D21">
        <v>5.5</v>
      </c>
      <c r="E21">
        <v>178.1</v>
      </c>
      <c r="G21" s="2"/>
      <c r="H21">
        <f t="shared" si="0"/>
        <v>0</v>
      </c>
      <c r="I21">
        <f t="shared" si="1"/>
        <v>1</v>
      </c>
      <c r="J21">
        <f t="shared" si="2"/>
        <v>1</v>
      </c>
      <c r="K21" s="4" t="str">
        <f t="shared" si="3"/>
        <v/>
      </c>
      <c r="L21" t="str">
        <f t="shared" si="4"/>
        <v/>
      </c>
    </row>
    <row r="22" spans="1:12" x14ac:dyDescent="0.25">
      <c r="A22" t="s">
        <v>148</v>
      </c>
      <c r="B22">
        <v>16</v>
      </c>
      <c r="C22">
        <v>4.0999999999999996</v>
      </c>
      <c r="D22">
        <v>8.1999999999999993</v>
      </c>
      <c r="E22">
        <v>208.2</v>
      </c>
      <c r="G22" s="2"/>
      <c r="H22">
        <f t="shared" si="0"/>
        <v>0</v>
      </c>
      <c r="I22">
        <f t="shared" si="1"/>
        <v>1</v>
      </c>
      <c r="J22">
        <f t="shared" si="2"/>
        <v>1</v>
      </c>
      <c r="K22" s="4" t="str">
        <f t="shared" si="3"/>
        <v/>
      </c>
      <c r="L22" t="str">
        <f t="shared" si="4"/>
        <v/>
      </c>
    </row>
    <row r="23" spans="1:12" x14ac:dyDescent="0.25">
      <c r="A23" t="s">
        <v>149</v>
      </c>
      <c r="B23">
        <v>15.3</v>
      </c>
      <c r="C23">
        <v>7.5</v>
      </c>
      <c r="D23">
        <v>6.8</v>
      </c>
      <c r="E23">
        <v>171.2</v>
      </c>
      <c r="G23" s="2"/>
      <c r="H23">
        <f t="shared" si="0"/>
        <v>0</v>
      </c>
      <c r="I23">
        <f t="shared" si="1"/>
        <v>1</v>
      </c>
      <c r="J23">
        <f t="shared" si="2"/>
        <v>1</v>
      </c>
      <c r="K23" s="4" t="str">
        <f t="shared" si="3"/>
        <v/>
      </c>
      <c r="L23" t="str">
        <f t="shared" si="4"/>
        <v/>
      </c>
    </row>
    <row r="24" spans="1:12" x14ac:dyDescent="0.25">
      <c r="A24" t="s">
        <v>150</v>
      </c>
      <c r="B24">
        <v>15.7</v>
      </c>
      <c r="C24">
        <v>5.5</v>
      </c>
      <c r="D24">
        <v>5.9</v>
      </c>
      <c r="E24">
        <v>149.30000000000001</v>
      </c>
      <c r="G24" s="2"/>
      <c r="H24">
        <f t="shared" si="0"/>
        <v>0</v>
      </c>
      <c r="I24">
        <f t="shared" si="1"/>
        <v>1</v>
      </c>
      <c r="J24">
        <f t="shared" si="2"/>
        <v>1</v>
      </c>
      <c r="K24" s="4" t="str">
        <f t="shared" si="3"/>
        <v/>
      </c>
      <c r="L24" t="str">
        <f t="shared" si="4"/>
        <v/>
      </c>
    </row>
    <row r="25" spans="1:12" x14ac:dyDescent="0.25">
      <c r="A25" t="s">
        <v>151</v>
      </c>
      <c r="B25">
        <v>19.7</v>
      </c>
      <c r="C25">
        <v>15</v>
      </c>
      <c r="D25">
        <v>7.4</v>
      </c>
      <c r="E25">
        <v>110.8</v>
      </c>
      <c r="G25" s="2"/>
      <c r="H25">
        <f t="shared" si="0"/>
        <v>0</v>
      </c>
      <c r="I25">
        <f t="shared" si="1"/>
        <v>1</v>
      </c>
      <c r="J25">
        <f t="shared" si="2"/>
        <v>1</v>
      </c>
      <c r="K25" s="4" t="str">
        <f t="shared" si="3"/>
        <v/>
      </c>
      <c r="L25" t="str">
        <f t="shared" si="4"/>
        <v/>
      </c>
    </row>
    <row r="26" spans="1:12" x14ac:dyDescent="0.25">
      <c r="A26" t="s">
        <v>219</v>
      </c>
      <c r="B26">
        <v>17.8</v>
      </c>
      <c r="C26">
        <v>3.1</v>
      </c>
      <c r="D26">
        <v>5.7</v>
      </c>
      <c r="E26">
        <v>80.5</v>
      </c>
      <c r="G26" s="2">
        <v>1</v>
      </c>
      <c r="H26">
        <f t="shared" si="0"/>
        <v>7.0754533060579092</v>
      </c>
      <c r="I26">
        <f t="shared" si="1"/>
        <v>1</v>
      </c>
      <c r="J26">
        <f t="shared" si="2"/>
        <v>1</v>
      </c>
      <c r="K26" s="4">
        <f t="shared" si="3"/>
        <v>0.9965427191630859</v>
      </c>
      <c r="L26" t="str">
        <f t="shared" si="4"/>
        <v/>
      </c>
    </row>
    <row r="27" spans="1:12" x14ac:dyDescent="0.25">
      <c r="A27" t="s">
        <v>221</v>
      </c>
      <c r="B27">
        <v>18.5</v>
      </c>
      <c r="C27">
        <v>6.5</v>
      </c>
      <c r="D27">
        <v>13.7</v>
      </c>
      <c r="E27">
        <v>105</v>
      </c>
      <c r="G27" s="2">
        <v>1</v>
      </c>
      <c r="H27">
        <f t="shared" si="0"/>
        <v>6.5639730824004578</v>
      </c>
      <c r="I27">
        <f t="shared" si="1"/>
        <v>1</v>
      </c>
      <c r="J27">
        <f t="shared" si="2"/>
        <v>1</v>
      </c>
      <c r="K27" s="4">
        <f t="shared" si="3"/>
        <v>0.92450325104231801</v>
      </c>
      <c r="L27" t="str">
        <f t="shared" si="4"/>
        <v/>
      </c>
    </row>
    <row r="28" spans="1:12" x14ac:dyDescent="0.25">
      <c r="A28" t="s">
        <v>152</v>
      </c>
      <c r="B28">
        <v>16.8</v>
      </c>
      <c r="C28">
        <v>0</v>
      </c>
      <c r="D28">
        <v>0.2</v>
      </c>
      <c r="E28">
        <v>108.9</v>
      </c>
      <c r="G28" s="2">
        <v>0</v>
      </c>
      <c r="H28">
        <f t="shared" si="0"/>
        <v>12.827522936928805</v>
      </c>
      <c r="I28">
        <f t="shared" si="1"/>
        <v>1</v>
      </c>
      <c r="J28">
        <f t="shared" si="2"/>
        <v>1</v>
      </c>
      <c r="K28" s="4">
        <f t="shared" si="3"/>
        <v>1.8066933713984232</v>
      </c>
      <c r="L28" t="str">
        <f t="shared" si="4"/>
        <v/>
      </c>
    </row>
    <row r="29" spans="1:12" x14ac:dyDescent="0.25">
      <c r="A29" t="s">
        <v>153</v>
      </c>
      <c r="B29">
        <v>17.399999999999999</v>
      </c>
      <c r="C29">
        <v>4.0999999999999996</v>
      </c>
      <c r="D29">
        <v>13.5</v>
      </c>
      <c r="E29">
        <v>105.7</v>
      </c>
      <c r="G29" s="2"/>
      <c r="H29">
        <f t="shared" si="0"/>
        <v>0</v>
      </c>
      <c r="I29">
        <f t="shared" si="1"/>
        <v>1</v>
      </c>
      <c r="J29">
        <f t="shared" si="2"/>
        <v>1</v>
      </c>
      <c r="K29" s="4" t="str">
        <f t="shared" si="3"/>
        <v/>
      </c>
      <c r="L29" t="str">
        <f t="shared" si="4"/>
        <v/>
      </c>
    </row>
    <row r="30" spans="1:12" x14ac:dyDescent="0.25">
      <c r="A30" t="s">
        <v>154</v>
      </c>
      <c r="B30">
        <v>17.8</v>
      </c>
      <c r="C30">
        <v>8.4</v>
      </c>
      <c r="D30">
        <v>5.0999999999999996</v>
      </c>
      <c r="E30">
        <v>104.2</v>
      </c>
      <c r="G30" s="2"/>
      <c r="H30">
        <f t="shared" si="0"/>
        <v>0</v>
      </c>
      <c r="I30">
        <f t="shared" si="1"/>
        <v>1</v>
      </c>
      <c r="J30">
        <f t="shared" si="2"/>
        <v>1</v>
      </c>
      <c r="K30" s="4" t="str">
        <f t="shared" si="3"/>
        <v/>
      </c>
      <c r="L30" t="str">
        <f t="shared" si="4"/>
        <v/>
      </c>
    </row>
    <row r="31" spans="1:12" x14ac:dyDescent="0.25">
      <c r="A31" t="s">
        <v>155</v>
      </c>
      <c r="B31">
        <v>16</v>
      </c>
      <c r="C31">
        <v>3.7</v>
      </c>
      <c r="D31">
        <v>4.0999999999999996</v>
      </c>
      <c r="E31">
        <v>177.4</v>
      </c>
      <c r="G31" s="2"/>
      <c r="H31">
        <f t="shared" si="0"/>
        <v>0</v>
      </c>
      <c r="I31">
        <f t="shared" si="1"/>
        <v>1</v>
      </c>
      <c r="J31">
        <f t="shared" si="2"/>
        <v>1</v>
      </c>
      <c r="K31" s="4" t="str">
        <f t="shared" si="3"/>
        <v/>
      </c>
      <c r="L31" t="str">
        <f t="shared" si="4"/>
        <v/>
      </c>
    </row>
    <row r="32" spans="1:12" x14ac:dyDescent="0.25">
      <c r="A32" t="s">
        <v>156</v>
      </c>
      <c r="B32">
        <v>15.8</v>
      </c>
      <c r="C32">
        <v>8.1999999999999993</v>
      </c>
      <c r="D32">
        <v>10.8</v>
      </c>
      <c r="E32">
        <v>124.3</v>
      </c>
      <c r="G32" s="2"/>
      <c r="H32">
        <f t="shared" si="0"/>
        <v>0</v>
      </c>
      <c r="I32">
        <f t="shared" si="1"/>
        <v>1</v>
      </c>
      <c r="J32">
        <f t="shared" si="2"/>
        <v>1</v>
      </c>
      <c r="K32" s="4" t="str">
        <f t="shared" si="3"/>
        <v/>
      </c>
      <c r="L32" t="str">
        <f t="shared" si="4"/>
        <v/>
      </c>
    </row>
    <row r="33" spans="1:12" x14ac:dyDescent="0.25">
      <c r="A33" t="s">
        <v>220</v>
      </c>
      <c r="B33">
        <v>14.5</v>
      </c>
      <c r="C33">
        <v>2.9</v>
      </c>
      <c r="D33">
        <v>4.5999999999999996</v>
      </c>
      <c r="E33">
        <v>104.7</v>
      </c>
      <c r="G33" s="2">
        <v>0</v>
      </c>
      <c r="H33">
        <f t="shared" si="0"/>
        <v>10.874293313238619</v>
      </c>
      <c r="I33">
        <f t="shared" si="1"/>
        <v>1</v>
      </c>
      <c r="J33">
        <f t="shared" si="2"/>
        <v>1</v>
      </c>
      <c r="K33" s="4">
        <f t="shared" si="3"/>
        <v>1.5315906074983971</v>
      </c>
      <c r="L33" t="str">
        <f t="shared" si="4"/>
        <v/>
      </c>
    </row>
    <row r="34" spans="1:12" x14ac:dyDescent="0.25">
      <c r="A34" t="s">
        <v>157</v>
      </c>
      <c r="B34">
        <v>16</v>
      </c>
      <c r="C34">
        <v>7</v>
      </c>
      <c r="D34">
        <v>10.6</v>
      </c>
      <c r="E34">
        <v>170.4</v>
      </c>
      <c r="G34" s="2"/>
      <c r="H34">
        <f t="shared" si="0"/>
        <v>0</v>
      </c>
      <c r="I34">
        <f t="shared" si="1"/>
        <v>1</v>
      </c>
      <c r="J34">
        <f t="shared" si="2"/>
        <v>1</v>
      </c>
      <c r="K34" s="4" t="str">
        <f t="shared" si="3"/>
        <v/>
      </c>
      <c r="L34" t="str">
        <f t="shared" si="4"/>
        <v/>
      </c>
    </row>
    <row r="35" spans="1:12" x14ac:dyDescent="0.25">
      <c r="A35" t="s">
        <v>158</v>
      </c>
      <c r="B35">
        <v>16.100000000000001</v>
      </c>
      <c r="C35">
        <v>0</v>
      </c>
      <c r="D35">
        <v>1.1000000000000001</v>
      </c>
      <c r="E35">
        <v>140</v>
      </c>
      <c r="G35" s="2"/>
      <c r="H35">
        <f t="shared" si="0"/>
        <v>0</v>
      </c>
      <c r="I35">
        <f t="shared" si="1"/>
        <v>1</v>
      </c>
      <c r="J35">
        <f t="shared" si="2"/>
        <v>1</v>
      </c>
      <c r="K35" s="4" t="str">
        <f t="shared" si="3"/>
        <v/>
      </c>
      <c r="L35" t="str">
        <f t="shared" si="4"/>
        <v/>
      </c>
    </row>
    <row r="36" spans="1:12" x14ac:dyDescent="0.25">
      <c r="A36" t="s">
        <v>159</v>
      </c>
      <c r="B36">
        <v>18.399999999999999</v>
      </c>
      <c r="C36">
        <v>16.399999999999999</v>
      </c>
      <c r="D36">
        <v>10.199999999999999</v>
      </c>
      <c r="E36">
        <v>71.3</v>
      </c>
      <c r="G36" s="2">
        <v>1</v>
      </c>
      <c r="H36">
        <f t="shared" si="0"/>
        <v>7.0666917320409937</v>
      </c>
      <c r="I36">
        <f t="shared" si="1"/>
        <v>1</v>
      </c>
      <c r="J36">
        <f t="shared" si="2"/>
        <v>1</v>
      </c>
      <c r="K36" s="4">
        <f t="shared" si="3"/>
        <v>0.99530869465366112</v>
      </c>
      <c r="L36" t="str">
        <f t="shared" si="4"/>
        <v/>
      </c>
    </row>
    <row r="37" spans="1:12" x14ac:dyDescent="0.25">
      <c r="A37" t="s">
        <v>160</v>
      </c>
      <c r="B37">
        <v>17.5</v>
      </c>
      <c r="C37">
        <v>1.8</v>
      </c>
      <c r="D37">
        <v>9</v>
      </c>
      <c r="E37">
        <v>85.7</v>
      </c>
      <c r="G37" s="2">
        <v>0</v>
      </c>
      <c r="H37">
        <f t="shared" si="0"/>
        <v>8.1608975016034186</v>
      </c>
      <c r="I37">
        <f t="shared" si="1"/>
        <v>1</v>
      </c>
      <c r="J37">
        <f t="shared" si="2"/>
        <v>1</v>
      </c>
      <c r="K37" s="4">
        <f t="shared" si="3"/>
        <v>1.1494221833244251</v>
      </c>
      <c r="L37" t="str">
        <f t="shared" si="4"/>
        <v/>
      </c>
    </row>
    <row r="38" spans="1:12" x14ac:dyDescent="0.25">
      <c r="A38" t="s">
        <v>161</v>
      </c>
      <c r="B38">
        <v>18.100000000000001</v>
      </c>
      <c r="C38">
        <v>6.6</v>
      </c>
      <c r="D38">
        <v>9.3000000000000007</v>
      </c>
      <c r="E38">
        <v>69.900000000000006</v>
      </c>
      <c r="G38" s="2">
        <v>1</v>
      </c>
      <c r="H38">
        <f t="shared" si="0"/>
        <v>3.4202072235749577</v>
      </c>
      <c r="I38">
        <f t="shared" si="1"/>
        <v>1</v>
      </c>
      <c r="J38">
        <f t="shared" si="2"/>
        <v>1</v>
      </c>
      <c r="K38" s="4">
        <f t="shared" si="3"/>
        <v>0.48171932726407857</v>
      </c>
      <c r="L38" t="str">
        <f t="shared" si="4"/>
        <v/>
      </c>
    </row>
    <row r="39" spans="1:12" x14ac:dyDescent="0.25">
      <c r="A39" t="s">
        <v>162</v>
      </c>
      <c r="B39">
        <v>16.5</v>
      </c>
      <c r="C39">
        <v>10.6</v>
      </c>
      <c r="D39">
        <v>17.7</v>
      </c>
      <c r="E39">
        <v>131.80000000000001</v>
      </c>
      <c r="G39" s="2"/>
      <c r="H39">
        <f t="shared" si="0"/>
        <v>0</v>
      </c>
      <c r="I39">
        <f t="shared" si="1"/>
        <v>1</v>
      </c>
      <c r="J39">
        <f t="shared" si="2"/>
        <v>1</v>
      </c>
      <c r="K39" s="4" t="str">
        <f t="shared" si="3"/>
        <v/>
      </c>
      <c r="L39" t="str">
        <f t="shared" si="4"/>
        <v/>
      </c>
    </row>
    <row r="40" spans="1:12" x14ac:dyDescent="0.25">
      <c r="A40" t="s">
        <v>163</v>
      </c>
      <c r="B40">
        <v>15.5</v>
      </c>
      <c r="C40">
        <v>5.7</v>
      </c>
      <c r="D40">
        <v>11.2</v>
      </c>
      <c r="E40">
        <v>156.1</v>
      </c>
      <c r="G40" s="2"/>
      <c r="H40">
        <f t="shared" si="0"/>
        <v>0</v>
      </c>
      <c r="I40">
        <f t="shared" si="1"/>
        <v>1</v>
      </c>
      <c r="J40">
        <f t="shared" si="2"/>
        <v>1</v>
      </c>
      <c r="K40" s="4" t="str">
        <f t="shared" si="3"/>
        <v/>
      </c>
      <c r="L40" t="str">
        <f t="shared" si="4"/>
        <v/>
      </c>
    </row>
    <row r="41" spans="1:12" x14ac:dyDescent="0.25">
      <c r="A41" t="s">
        <v>164</v>
      </c>
      <c r="B41">
        <v>15.7</v>
      </c>
      <c r="C41">
        <v>6.5</v>
      </c>
      <c r="D41">
        <v>10</v>
      </c>
      <c r="E41">
        <v>211.2</v>
      </c>
      <c r="G41" s="2"/>
      <c r="H41">
        <f t="shared" ref="H41:H72" si="5">IF(G41&lt;&gt;"",SQRT(4*(B41-dD)^2+(C41-dP)^2+(D41-dH)^2),0)</f>
        <v>0</v>
      </c>
      <c r="I41">
        <f t="shared" ref="I41:I72" si="6">IF(G41=1,IF(H41&lt;R_,1,EXP(R_-H41)),IF(G41&lt;&gt;"",IF(H41&lt;R_,EXP(H41-R_),1),1))</f>
        <v>1</v>
      </c>
      <c r="J41">
        <f t="shared" si="2"/>
        <v>1</v>
      </c>
      <c r="K41" s="4" t="str">
        <f t="shared" ref="K41:K72" si="7">IF(G41&lt;&gt;"",H41/R_,"")</f>
        <v/>
      </c>
      <c r="L41" t="str">
        <f t="shared" si="4"/>
        <v/>
      </c>
    </row>
    <row r="42" spans="1:12" x14ac:dyDescent="0.25">
      <c r="A42" t="s">
        <v>165</v>
      </c>
      <c r="B42">
        <v>15.8</v>
      </c>
      <c r="C42">
        <v>8.8000000000000007</v>
      </c>
      <c r="D42">
        <v>19.399999999999999</v>
      </c>
      <c r="E42">
        <v>58.6</v>
      </c>
      <c r="G42" s="2">
        <v>0</v>
      </c>
      <c r="H42">
        <f t="shared" si="5"/>
        <v>12.586579497022544</v>
      </c>
      <c r="I42">
        <f t="shared" si="6"/>
        <v>1</v>
      </c>
      <c r="J42">
        <f t="shared" si="2"/>
        <v>1</v>
      </c>
      <c r="K42" s="4">
        <f t="shared" si="7"/>
        <v>1.7727576756369783</v>
      </c>
      <c r="L42" t="str">
        <f t="shared" si="4"/>
        <v/>
      </c>
    </row>
    <row r="43" spans="1:12" x14ac:dyDescent="0.25">
      <c r="A43" t="s">
        <v>166</v>
      </c>
      <c r="B43">
        <v>15.8</v>
      </c>
      <c r="C43">
        <v>5.3</v>
      </c>
      <c r="D43">
        <v>7.2</v>
      </c>
      <c r="E43">
        <v>98.6</v>
      </c>
      <c r="G43" s="2">
        <v>1</v>
      </c>
      <c r="H43">
        <f t="shared" si="5"/>
        <v>6.8462562791460355</v>
      </c>
      <c r="I43">
        <f t="shared" si="6"/>
        <v>1</v>
      </c>
      <c r="J43">
        <f t="shared" si="2"/>
        <v>1</v>
      </c>
      <c r="K43" s="4">
        <f t="shared" si="7"/>
        <v>0.96426144776704725</v>
      </c>
      <c r="L43" t="str">
        <f t="shared" si="4"/>
        <v/>
      </c>
    </row>
    <row r="44" spans="1:12" x14ac:dyDescent="0.25">
      <c r="A44" t="s">
        <v>167</v>
      </c>
      <c r="B44">
        <v>17.8</v>
      </c>
      <c r="C44">
        <v>0.6</v>
      </c>
      <c r="D44">
        <v>1.4</v>
      </c>
      <c r="E44">
        <v>122.8</v>
      </c>
      <c r="G44" s="2"/>
      <c r="H44">
        <f t="shared" si="5"/>
        <v>0</v>
      </c>
      <c r="I44">
        <f t="shared" si="6"/>
        <v>1</v>
      </c>
      <c r="J44">
        <f t="shared" si="2"/>
        <v>1</v>
      </c>
      <c r="K44" s="4" t="str">
        <f t="shared" si="7"/>
        <v/>
      </c>
      <c r="L44" t="str">
        <f t="shared" si="4"/>
        <v/>
      </c>
    </row>
    <row r="45" spans="1:12" x14ac:dyDescent="0.25">
      <c r="A45" t="s">
        <v>168</v>
      </c>
      <c r="B45">
        <v>16</v>
      </c>
      <c r="C45">
        <v>7.6</v>
      </c>
      <c r="D45">
        <v>12.5</v>
      </c>
      <c r="E45">
        <v>115</v>
      </c>
      <c r="G45" s="2"/>
      <c r="H45">
        <f t="shared" si="5"/>
        <v>0</v>
      </c>
      <c r="I45">
        <f t="shared" si="6"/>
        <v>1</v>
      </c>
      <c r="J45">
        <f t="shared" si="2"/>
        <v>1</v>
      </c>
      <c r="K45" s="4" t="str">
        <f t="shared" si="7"/>
        <v/>
      </c>
      <c r="L45" t="str">
        <f t="shared" si="4"/>
        <v/>
      </c>
    </row>
    <row r="46" spans="1:12" x14ac:dyDescent="0.25">
      <c r="A46" t="s">
        <v>169</v>
      </c>
      <c r="B46">
        <v>18</v>
      </c>
      <c r="C46">
        <v>21.7</v>
      </c>
      <c r="D46">
        <v>5.0999999999999996</v>
      </c>
      <c r="E46">
        <v>66</v>
      </c>
      <c r="G46" s="2"/>
      <c r="H46">
        <f t="shared" si="5"/>
        <v>0</v>
      </c>
      <c r="I46">
        <f t="shared" si="6"/>
        <v>1</v>
      </c>
      <c r="J46">
        <f t="shared" si="2"/>
        <v>1</v>
      </c>
      <c r="K46" s="4" t="str">
        <f t="shared" si="7"/>
        <v/>
      </c>
      <c r="L46" t="str">
        <f t="shared" si="4"/>
        <v/>
      </c>
    </row>
    <row r="47" spans="1:12" x14ac:dyDescent="0.25">
      <c r="A47" t="s">
        <v>170</v>
      </c>
      <c r="B47">
        <v>17</v>
      </c>
      <c r="C47">
        <v>11</v>
      </c>
      <c r="D47">
        <v>26</v>
      </c>
      <c r="E47">
        <v>55.9</v>
      </c>
      <c r="G47" s="2"/>
      <c r="H47">
        <f t="shared" si="5"/>
        <v>0</v>
      </c>
      <c r="I47">
        <f t="shared" si="6"/>
        <v>1</v>
      </c>
      <c r="J47">
        <f t="shared" si="2"/>
        <v>1</v>
      </c>
      <c r="K47" s="4" t="str">
        <f t="shared" si="7"/>
        <v/>
      </c>
      <c r="L47" t="str">
        <f t="shared" si="4"/>
        <v/>
      </c>
    </row>
    <row r="48" spans="1:12" x14ac:dyDescent="0.25">
      <c r="A48" t="s">
        <v>171</v>
      </c>
      <c r="B48">
        <v>16</v>
      </c>
      <c r="C48">
        <v>5.0999999999999996</v>
      </c>
      <c r="D48">
        <v>12.3</v>
      </c>
      <c r="E48">
        <v>132</v>
      </c>
      <c r="G48" s="2"/>
      <c r="H48">
        <f t="shared" si="5"/>
        <v>0</v>
      </c>
      <c r="I48">
        <f t="shared" si="6"/>
        <v>1</v>
      </c>
      <c r="J48">
        <f t="shared" si="2"/>
        <v>1</v>
      </c>
      <c r="K48" s="4" t="str">
        <f t="shared" si="7"/>
        <v/>
      </c>
      <c r="L48" t="str">
        <f t="shared" si="4"/>
        <v/>
      </c>
    </row>
    <row r="49" spans="1:12" x14ac:dyDescent="0.25">
      <c r="A49" t="s">
        <v>172</v>
      </c>
      <c r="B49">
        <v>16</v>
      </c>
      <c r="C49">
        <v>8.1999999999999993</v>
      </c>
      <c r="D49">
        <v>15</v>
      </c>
      <c r="E49">
        <v>79.3</v>
      </c>
      <c r="G49" s="2"/>
      <c r="H49">
        <f t="shared" si="5"/>
        <v>0</v>
      </c>
      <c r="I49">
        <f t="shared" si="6"/>
        <v>1</v>
      </c>
      <c r="J49">
        <f t="shared" si="2"/>
        <v>1</v>
      </c>
      <c r="K49" s="4" t="str">
        <f t="shared" si="7"/>
        <v/>
      </c>
      <c r="L49" t="str">
        <f t="shared" si="4"/>
        <v/>
      </c>
    </row>
    <row r="50" spans="1:12" x14ac:dyDescent="0.25">
      <c r="A50" t="s">
        <v>173</v>
      </c>
      <c r="B50">
        <v>18</v>
      </c>
      <c r="C50">
        <v>16.600000000000001</v>
      </c>
      <c r="D50">
        <v>7.4</v>
      </c>
      <c r="E50">
        <v>76.5</v>
      </c>
      <c r="G50" s="2"/>
      <c r="H50">
        <f t="shared" si="5"/>
        <v>0</v>
      </c>
      <c r="I50">
        <f t="shared" si="6"/>
        <v>1</v>
      </c>
      <c r="J50">
        <f t="shared" si="2"/>
        <v>1</v>
      </c>
      <c r="K50" s="4" t="str">
        <f t="shared" si="7"/>
        <v/>
      </c>
      <c r="L50" t="str">
        <f t="shared" si="4"/>
        <v/>
      </c>
    </row>
    <row r="51" spans="1:12" x14ac:dyDescent="0.25">
      <c r="A51" t="s">
        <v>174</v>
      </c>
      <c r="B51">
        <v>17.899999999999999</v>
      </c>
      <c r="C51">
        <v>25.5</v>
      </c>
      <c r="D51">
        <v>17.399999999999999</v>
      </c>
      <c r="E51">
        <v>83.2</v>
      </c>
      <c r="G51" s="2"/>
      <c r="H51">
        <f t="shared" si="5"/>
        <v>0</v>
      </c>
      <c r="I51">
        <f t="shared" si="6"/>
        <v>1</v>
      </c>
      <c r="J51">
        <f t="shared" si="2"/>
        <v>1</v>
      </c>
      <c r="K51" s="4" t="str">
        <f t="shared" si="7"/>
        <v/>
      </c>
      <c r="L51" t="str">
        <f t="shared" si="4"/>
        <v/>
      </c>
    </row>
    <row r="52" spans="1:12" x14ac:dyDescent="0.25">
      <c r="A52" t="s">
        <v>175</v>
      </c>
      <c r="B52">
        <v>15.3</v>
      </c>
      <c r="C52">
        <v>0</v>
      </c>
      <c r="D52">
        <v>0</v>
      </c>
      <c r="E52">
        <v>147</v>
      </c>
      <c r="G52" s="2"/>
      <c r="H52">
        <f t="shared" si="5"/>
        <v>0</v>
      </c>
      <c r="I52">
        <f t="shared" si="6"/>
        <v>1</v>
      </c>
      <c r="J52">
        <f t="shared" si="2"/>
        <v>1</v>
      </c>
      <c r="K52" s="4" t="str">
        <f t="shared" si="7"/>
        <v/>
      </c>
      <c r="L52" t="str">
        <f t="shared" si="4"/>
        <v/>
      </c>
    </row>
    <row r="53" spans="1:12" x14ac:dyDescent="0.25">
      <c r="A53" t="s">
        <v>176</v>
      </c>
      <c r="B53">
        <v>14.9</v>
      </c>
      <c r="C53">
        <v>0</v>
      </c>
      <c r="D53">
        <v>0</v>
      </c>
      <c r="E53">
        <v>131.4</v>
      </c>
      <c r="G53" s="2">
        <v>0</v>
      </c>
      <c r="H53">
        <f t="shared" si="5"/>
        <v>14.366622002560595</v>
      </c>
      <c r="I53">
        <f t="shared" si="6"/>
        <v>1</v>
      </c>
      <c r="J53">
        <f t="shared" si="2"/>
        <v>1</v>
      </c>
      <c r="K53" s="4">
        <f t="shared" si="7"/>
        <v>2.0234678876845908</v>
      </c>
      <c r="L53" t="str">
        <f t="shared" si="4"/>
        <v/>
      </c>
    </row>
    <row r="54" spans="1:12" x14ac:dyDescent="0.25">
      <c r="A54" t="s">
        <v>177</v>
      </c>
      <c r="B54">
        <v>15.1</v>
      </c>
      <c r="C54">
        <v>5.7</v>
      </c>
      <c r="D54">
        <v>15.9</v>
      </c>
      <c r="E54">
        <v>92.9</v>
      </c>
      <c r="G54" s="2"/>
      <c r="H54">
        <f t="shared" si="5"/>
        <v>0</v>
      </c>
      <c r="I54">
        <f t="shared" si="6"/>
        <v>1</v>
      </c>
      <c r="J54">
        <f t="shared" si="2"/>
        <v>1</v>
      </c>
      <c r="K54" s="4" t="str">
        <f t="shared" si="7"/>
        <v/>
      </c>
      <c r="L54" t="str">
        <f t="shared" si="4"/>
        <v/>
      </c>
    </row>
    <row r="55" spans="1:12" x14ac:dyDescent="0.25">
      <c r="A55" t="s">
        <v>178</v>
      </c>
      <c r="B55">
        <v>15.1</v>
      </c>
      <c r="C55">
        <v>2.8</v>
      </c>
      <c r="D55">
        <v>5.8</v>
      </c>
      <c r="E55">
        <v>169.8</v>
      </c>
      <c r="G55" s="2"/>
      <c r="H55">
        <f t="shared" si="5"/>
        <v>0</v>
      </c>
      <c r="I55">
        <f t="shared" si="6"/>
        <v>1</v>
      </c>
      <c r="J55">
        <f t="shared" si="2"/>
        <v>1</v>
      </c>
      <c r="K55" s="4" t="str">
        <f t="shared" si="7"/>
        <v/>
      </c>
      <c r="L55" t="str">
        <f t="shared" si="4"/>
        <v/>
      </c>
    </row>
    <row r="56" spans="1:12" x14ac:dyDescent="0.25">
      <c r="A56" t="s">
        <v>179</v>
      </c>
      <c r="B56">
        <v>15.3</v>
      </c>
      <c r="C56">
        <v>3.1</v>
      </c>
      <c r="D56">
        <v>7</v>
      </c>
      <c r="E56">
        <v>150.19999999999999</v>
      </c>
      <c r="G56" s="2"/>
      <c r="H56">
        <f t="shared" si="5"/>
        <v>0</v>
      </c>
      <c r="I56">
        <f t="shared" si="6"/>
        <v>1</v>
      </c>
      <c r="J56">
        <f t="shared" si="2"/>
        <v>1</v>
      </c>
      <c r="K56" s="4" t="str">
        <f t="shared" si="7"/>
        <v/>
      </c>
      <c r="L56" t="str">
        <f t="shared" si="4"/>
        <v/>
      </c>
    </row>
    <row r="57" spans="1:12" x14ac:dyDescent="0.25">
      <c r="A57" t="s">
        <v>180</v>
      </c>
      <c r="B57">
        <v>15.8</v>
      </c>
      <c r="C57">
        <v>5.2</v>
      </c>
      <c r="D57">
        <v>13.3</v>
      </c>
      <c r="E57">
        <v>109.3</v>
      </c>
      <c r="G57" s="2"/>
      <c r="H57">
        <f t="shared" si="5"/>
        <v>0</v>
      </c>
      <c r="I57">
        <f t="shared" si="6"/>
        <v>1</v>
      </c>
      <c r="J57">
        <f t="shared" si="2"/>
        <v>1</v>
      </c>
      <c r="K57" s="4" t="str">
        <f t="shared" si="7"/>
        <v/>
      </c>
      <c r="L57" t="str">
        <f t="shared" si="4"/>
        <v/>
      </c>
    </row>
    <row r="58" spans="1:12" x14ac:dyDescent="0.25">
      <c r="A58" t="s">
        <v>181</v>
      </c>
      <c r="B58">
        <v>14.9</v>
      </c>
      <c r="C58">
        <v>4.5</v>
      </c>
      <c r="D58">
        <v>8.1999999999999993</v>
      </c>
      <c r="E58">
        <v>117.1</v>
      </c>
      <c r="G58" s="2"/>
      <c r="H58">
        <f t="shared" si="5"/>
        <v>0</v>
      </c>
      <c r="I58">
        <f t="shared" si="6"/>
        <v>1</v>
      </c>
      <c r="J58">
        <f t="shared" si="2"/>
        <v>1</v>
      </c>
      <c r="K58" s="4" t="str">
        <f t="shared" si="7"/>
        <v/>
      </c>
      <c r="L58" t="str">
        <f t="shared" si="4"/>
        <v/>
      </c>
    </row>
    <row r="59" spans="1:12" x14ac:dyDescent="0.25">
      <c r="A59" t="s">
        <v>225</v>
      </c>
      <c r="B59">
        <v>15.1</v>
      </c>
      <c r="C59">
        <v>3.2</v>
      </c>
      <c r="D59">
        <v>3.2</v>
      </c>
      <c r="E59">
        <v>141.80000000000001</v>
      </c>
      <c r="G59" s="2">
        <v>0</v>
      </c>
      <c r="H59">
        <f t="shared" si="5"/>
        <v>10.411300335773833</v>
      </c>
      <c r="I59">
        <f t="shared" si="6"/>
        <v>1</v>
      </c>
      <c r="J59">
        <f t="shared" si="2"/>
        <v>1</v>
      </c>
      <c r="K59" s="4">
        <f t="shared" si="7"/>
        <v>1.4663803289822299</v>
      </c>
      <c r="L59" t="str">
        <f t="shared" si="4"/>
        <v/>
      </c>
    </row>
    <row r="60" spans="1:12" x14ac:dyDescent="0.25">
      <c r="A60" t="s">
        <v>182</v>
      </c>
      <c r="B60">
        <v>17</v>
      </c>
      <c r="C60">
        <v>8</v>
      </c>
      <c r="D60">
        <v>5</v>
      </c>
      <c r="E60">
        <v>150.30000000000001</v>
      </c>
      <c r="G60" s="2"/>
      <c r="H60">
        <f t="shared" si="5"/>
        <v>0</v>
      </c>
      <c r="I60">
        <f t="shared" si="6"/>
        <v>1</v>
      </c>
      <c r="J60">
        <f t="shared" si="2"/>
        <v>1</v>
      </c>
      <c r="K60" s="4" t="str">
        <f t="shared" si="7"/>
        <v/>
      </c>
      <c r="L60" t="str">
        <f t="shared" si="4"/>
        <v/>
      </c>
    </row>
    <row r="61" spans="1:12" x14ac:dyDescent="0.25">
      <c r="A61" t="s">
        <v>183</v>
      </c>
      <c r="B61">
        <v>17.2</v>
      </c>
      <c r="C61">
        <v>1.8</v>
      </c>
      <c r="D61">
        <v>4.3</v>
      </c>
      <c r="E61">
        <v>162.9</v>
      </c>
      <c r="G61" s="2"/>
      <c r="H61">
        <f t="shared" si="5"/>
        <v>0</v>
      </c>
      <c r="I61">
        <f t="shared" si="6"/>
        <v>1</v>
      </c>
      <c r="J61">
        <f t="shared" si="2"/>
        <v>1</v>
      </c>
      <c r="K61" s="4" t="str">
        <f t="shared" si="7"/>
        <v/>
      </c>
      <c r="L61" t="str">
        <f t="shared" si="4"/>
        <v/>
      </c>
    </row>
    <row r="62" spans="1:12" x14ac:dyDescent="0.25">
      <c r="A62" t="s">
        <v>184</v>
      </c>
      <c r="B62">
        <v>14.7</v>
      </c>
      <c r="C62">
        <v>12.3</v>
      </c>
      <c r="D62">
        <v>22.3</v>
      </c>
      <c r="E62">
        <v>40.6</v>
      </c>
      <c r="G62" s="2">
        <v>0</v>
      </c>
      <c r="H62">
        <f t="shared" si="5"/>
        <v>16.334192729973182</v>
      </c>
      <c r="I62">
        <f t="shared" si="6"/>
        <v>1</v>
      </c>
      <c r="J62">
        <f t="shared" si="2"/>
        <v>1</v>
      </c>
      <c r="K62" s="4">
        <f t="shared" si="7"/>
        <v>2.3005905253483356</v>
      </c>
      <c r="L62" t="str">
        <f t="shared" si="4"/>
        <v/>
      </c>
    </row>
    <row r="63" spans="1:12" x14ac:dyDescent="0.25">
      <c r="A63" t="s">
        <v>185</v>
      </c>
      <c r="B63">
        <v>15.5</v>
      </c>
      <c r="C63">
        <v>7.2</v>
      </c>
      <c r="D63">
        <v>7.6</v>
      </c>
      <c r="E63">
        <v>79.8</v>
      </c>
      <c r="G63" s="2"/>
      <c r="H63">
        <f t="shared" si="5"/>
        <v>0</v>
      </c>
      <c r="I63">
        <f t="shared" si="6"/>
        <v>1</v>
      </c>
      <c r="J63">
        <f t="shared" si="2"/>
        <v>1</v>
      </c>
      <c r="K63" s="4" t="str">
        <f t="shared" si="7"/>
        <v/>
      </c>
      <c r="L63" t="str">
        <f t="shared" si="4"/>
        <v/>
      </c>
    </row>
    <row r="64" spans="1:12" x14ac:dyDescent="0.25">
      <c r="A64" t="s">
        <v>186</v>
      </c>
      <c r="B64">
        <v>16.2</v>
      </c>
      <c r="C64">
        <v>7.8</v>
      </c>
      <c r="D64">
        <v>12.6</v>
      </c>
      <c r="E64">
        <v>118.2</v>
      </c>
      <c r="G64" s="2"/>
      <c r="H64">
        <f t="shared" si="5"/>
        <v>0</v>
      </c>
      <c r="I64">
        <f t="shared" si="6"/>
        <v>1</v>
      </c>
      <c r="J64">
        <f t="shared" si="2"/>
        <v>1</v>
      </c>
      <c r="K64" s="4" t="str">
        <f t="shared" si="7"/>
        <v/>
      </c>
      <c r="L64" t="str">
        <f t="shared" si="4"/>
        <v/>
      </c>
    </row>
    <row r="65" spans="1:12" x14ac:dyDescent="0.25">
      <c r="A65" t="s">
        <v>187</v>
      </c>
      <c r="B65">
        <v>16</v>
      </c>
      <c r="C65">
        <v>8.1999999999999993</v>
      </c>
      <c r="D65">
        <v>15</v>
      </c>
      <c r="E65">
        <v>79.3</v>
      </c>
      <c r="G65" s="2"/>
      <c r="H65">
        <f t="shared" si="5"/>
        <v>0</v>
      </c>
      <c r="I65">
        <f t="shared" si="6"/>
        <v>1</v>
      </c>
      <c r="J65">
        <f t="shared" si="2"/>
        <v>1</v>
      </c>
      <c r="K65" s="4" t="str">
        <f t="shared" si="7"/>
        <v/>
      </c>
      <c r="L65" t="str">
        <f t="shared" si="4"/>
        <v/>
      </c>
    </row>
    <row r="66" spans="1:12" x14ac:dyDescent="0.25">
      <c r="A66" t="s">
        <v>188</v>
      </c>
      <c r="B66">
        <v>16</v>
      </c>
      <c r="C66">
        <v>0</v>
      </c>
      <c r="D66">
        <v>1</v>
      </c>
      <c r="E66">
        <v>128.19999999999999</v>
      </c>
      <c r="G66" s="2"/>
      <c r="H66">
        <f t="shared" si="5"/>
        <v>0</v>
      </c>
      <c r="I66">
        <f t="shared" si="6"/>
        <v>1</v>
      </c>
      <c r="J66">
        <f t="shared" si="2"/>
        <v>1</v>
      </c>
      <c r="K66" s="4" t="str">
        <f t="shared" si="7"/>
        <v/>
      </c>
      <c r="L66" t="str">
        <f t="shared" si="4"/>
        <v/>
      </c>
    </row>
    <row r="67" spans="1:12" x14ac:dyDescent="0.25">
      <c r="A67" t="s">
        <v>189</v>
      </c>
      <c r="B67">
        <v>16</v>
      </c>
      <c r="C67">
        <v>9</v>
      </c>
      <c r="D67">
        <v>5.0999999999999996</v>
      </c>
      <c r="E67">
        <v>90.2</v>
      </c>
      <c r="G67" s="2">
        <v>1</v>
      </c>
      <c r="H67">
        <f t="shared" si="5"/>
        <v>5.6293405135626502</v>
      </c>
      <c r="I67">
        <f t="shared" si="6"/>
        <v>1</v>
      </c>
      <c r="J67">
        <f t="shared" si="2"/>
        <v>1</v>
      </c>
      <c r="K67" s="4">
        <f t="shared" si="7"/>
        <v>0.79286486106516207</v>
      </c>
      <c r="L67" t="str">
        <f t="shared" si="4"/>
        <v/>
      </c>
    </row>
    <row r="68" spans="1:12" x14ac:dyDescent="0.25">
      <c r="A68" t="s">
        <v>190</v>
      </c>
      <c r="B68">
        <v>16</v>
      </c>
      <c r="C68">
        <v>5.7</v>
      </c>
      <c r="D68">
        <v>4.0999999999999996</v>
      </c>
      <c r="E68">
        <v>141.30000000000001</v>
      </c>
      <c r="G68" s="2"/>
      <c r="H68">
        <f t="shared" si="5"/>
        <v>0</v>
      </c>
      <c r="I68">
        <f t="shared" si="6"/>
        <v>1</v>
      </c>
      <c r="J68">
        <f t="shared" si="2"/>
        <v>1</v>
      </c>
      <c r="K68" s="4" t="str">
        <f t="shared" si="7"/>
        <v/>
      </c>
      <c r="L68" t="str">
        <f t="shared" si="4"/>
        <v/>
      </c>
    </row>
    <row r="69" spans="1:12" x14ac:dyDescent="0.25">
      <c r="A69" t="s">
        <v>191</v>
      </c>
      <c r="B69">
        <v>15.4</v>
      </c>
      <c r="C69">
        <v>3.3</v>
      </c>
      <c r="D69">
        <v>12.3</v>
      </c>
      <c r="E69">
        <v>127.2</v>
      </c>
      <c r="G69" s="2"/>
      <c r="H69">
        <f t="shared" si="5"/>
        <v>0</v>
      </c>
      <c r="I69">
        <f t="shared" si="6"/>
        <v>1</v>
      </c>
      <c r="J69">
        <f t="shared" si="2"/>
        <v>1</v>
      </c>
      <c r="K69" s="4" t="str">
        <f t="shared" si="7"/>
        <v/>
      </c>
      <c r="L69" t="str">
        <f t="shared" si="4"/>
        <v/>
      </c>
    </row>
    <row r="70" spans="1:12" x14ac:dyDescent="0.25">
      <c r="A70" t="s">
        <v>192</v>
      </c>
      <c r="B70">
        <v>15.3</v>
      </c>
      <c r="C70">
        <v>6.1</v>
      </c>
      <c r="D70">
        <v>4.0999999999999996</v>
      </c>
      <c r="E70">
        <v>125.8</v>
      </c>
      <c r="G70" s="2"/>
      <c r="H70">
        <f t="shared" si="5"/>
        <v>0</v>
      </c>
      <c r="I70">
        <f t="shared" si="6"/>
        <v>1</v>
      </c>
      <c r="J70">
        <f t="shared" si="2"/>
        <v>1</v>
      </c>
      <c r="K70" s="4" t="str">
        <f t="shared" si="7"/>
        <v/>
      </c>
      <c r="L70" t="str">
        <f t="shared" si="4"/>
        <v/>
      </c>
    </row>
    <row r="71" spans="1:12" x14ac:dyDescent="0.25">
      <c r="A71" t="s">
        <v>193</v>
      </c>
      <c r="B71">
        <v>16.2</v>
      </c>
      <c r="C71">
        <v>3.8</v>
      </c>
      <c r="D71">
        <v>4.5</v>
      </c>
      <c r="E71">
        <v>340.7</v>
      </c>
      <c r="G71" s="2"/>
      <c r="H71">
        <f t="shared" si="5"/>
        <v>0</v>
      </c>
      <c r="I71">
        <f t="shared" si="6"/>
        <v>1</v>
      </c>
      <c r="J71">
        <f t="shared" si="2"/>
        <v>1</v>
      </c>
      <c r="K71" s="4" t="str">
        <f t="shared" si="7"/>
        <v/>
      </c>
      <c r="L71" t="str">
        <f t="shared" si="4"/>
        <v/>
      </c>
    </row>
    <row r="72" spans="1:12" x14ac:dyDescent="0.25">
      <c r="A72" t="s">
        <v>194</v>
      </c>
      <c r="B72">
        <v>16</v>
      </c>
      <c r="C72">
        <v>7.6</v>
      </c>
      <c r="D72">
        <v>4.7</v>
      </c>
      <c r="E72">
        <v>107.3</v>
      </c>
      <c r="G72" s="2"/>
      <c r="H72">
        <f t="shared" si="5"/>
        <v>0</v>
      </c>
      <c r="I72">
        <f t="shared" si="6"/>
        <v>1</v>
      </c>
      <c r="J72">
        <f t="shared" si="2"/>
        <v>1</v>
      </c>
      <c r="K72" s="4" t="str">
        <f t="shared" si="7"/>
        <v/>
      </c>
      <c r="L72" t="str">
        <f t="shared" si="4"/>
        <v/>
      </c>
    </row>
    <row r="73" spans="1:12" x14ac:dyDescent="0.25">
      <c r="A73" t="s">
        <v>195</v>
      </c>
      <c r="B73">
        <v>18</v>
      </c>
      <c r="C73">
        <v>12.3</v>
      </c>
      <c r="D73">
        <v>7.2</v>
      </c>
      <c r="E73">
        <v>96.6</v>
      </c>
      <c r="G73" s="2">
        <v>1</v>
      </c>
      <c r="H73">
        <f t="shared" ref="H73:H94" si="8">IF(G73&lt;&gt;"",SQRT(4*(B73-dD)^2+(C73-dP)^2+(D73-dH)^2),0)</f>
        <v>2.8301068491305257</v>
      </c>
      <c r="I73">
        <f t="shared" ref="I73:I94" si="9">IF(G73=1,IF(H73&lt;R_,1,EXP(R_-H73)),IF(G73&lt;&gt;"",IF(H73&lt;R_,EXP(H73-R_),1),1))</f>
        <v>1</v>
      </c>
      <c r="J73">
        <f t="shared" ref="J73:J93" si="10">I73*J74</f>
        <v>1</v>
      </c>
      <c r="K73" s="4">
        <f t="shared" ref="K73:K94" si="11">IF(G73&lt;&gt;"",H73/R_,"")</f>
        <v>0.39860659846908814</v>
      </c>
      <c r="L73" t="str">
        <f t="shared" si="4"/>
        <v/>
      </c>
    </row>
    <row r="74" spans="1:12" x14ac:dyDescent="0.25">
      <c r="A74" t="s">
        <v>196</v>
      </c>
      <c r="B74">
        <v>17</v>
      </c>
      <c r="C74">
        <v>7.3</v>
      </c>
      <c r="D74">
        <v>7.1</v>
      </c>
      <c r="E74">
        <v>64.400000000000006</v>
      </c>
      <c r="G74" s="2">
        <v>1</v>
      </c>
      <c r="H74">
        <f t="shared" si="8"/>
        <v>3.7803030287822876</v>
      </c>
      <c r="I74">
        <f t="shared" si="9"/>
        <v>1</v>
      </c>
      <c r="J74">
        <f t="shared" si="10"/>
        <v>1</v>
      </c>
      <c r="K74" s="4">
        <f t="shared" si="11"/>
        <v>0.53243704630736444</v>
      </c>
      <c r="L74" t="str">
        <f t="shared" ref="L74:L94" si="12">IF(G74=1,IF(K74&lt;=1,"","WO"),IF(G74&lt;&gt;"",IF(K74&gt;1,"","WI"),""))</f>
        <v/>
      </c>
    </row>
    <row r="75" spans="1:12" x14ac:dyDescent="0.25">
      <c r="A75" t="s">
        <v>197</v>
      </c>
      <c r="B75">
        <v>16.8</v>
      </c>
      <c r="C75">
        <v>11.5</v>
      </c>
      <c r="D75">
        <v>10.199999999999999</v>
      </c>
      <c r="E75">
        <v>93</v>
      </c>
      <c r="G75" s="2"/>
      <c r="H75">
        <f t="shared" si="8"/>
        <v>0</v>
      </c>
      <c r="I75">
        <f t="shared" si="9"/>
        <v>1</v>
      </c>
      <c r="J75">
        <f t="shared" si="10"/>
        <v>1</v>
      </c>
      <c r="K75" s="4" t="str">
        <f t="shared" si="11"/>
        <v/>
      </c>
      <c r="L75" t="str">
        <f t="shared" si="12"/>
        <v/>
      </c>
    </row>
    <row r="76" spans="1:12" x14ac:dyDescent="0.25">
      <c r="A76" t="s">
        <v>198</v>
      </c>
      <c r="B76">
        <v>17.399999999999999</v>
      </c>
      <c r="C76">
        <v>13.7</v>
      </c>
      <c r="D76">
        <v>11.3</v>
      </c>
      <c r="E76">
        <v>77.400000000000006</v>
      </c>
      <c r="G76" s="2">
        <v>1</v>
      </c>
      <c r="H76">
        <f t="shared" si="8"/>
        <v>5.5774089826617805</v>
      </c>
      <c r="I76">
        <f t="shared" si="9"/>
        <v>1</v>
      </c>
      <c r="J76">
        <f t="shared" si="10"/>
        <v>1</v>
      </c>
      <c r="K76" s="4">
        <f t="shared" si="11"/>
        <v>0.78555056093827902</v>
      </c>
      <c r="L76" t="str">
        <f t="shared" si="12"/>
        <v/>
      </c>
    </row>
    <row r="77" spans="1:12" x14ac:dyDescent="0.25">
      <c r="A77" t="s">
        <v>199</v>
      </c>
      <c r="B77">
        <v>16.600000000000001</v>
      </c>
      <c r="C77">
        <v>12.3</v>
      </c>
      <c r="D77">
        <v>5.5</v>
      </c>
      <c r="E77">
        <v>89.5</v>
      </c>
      <c r="G77" s="2"/>
      <c r="H77">
        <f t="shared" si="8"/>
        <v>0</v>
      </c>
      <c r="I77">
        <f t="shared" si="9"/>
        <v>1</v>
      </c>
      <c r="J77">
        <f t="shared" si="10"/>
        <v>1</v>
      </c>
      <c r="K77" s="4" t="str">
        <f t="shared" si="11"/>
        <v/>
      </c>
      <c r="L77" t="str">
        <f t="shared" si="12"/>
        <v/>
      </c>
    </row>
    <row r="78" spans="1:12" x14ac:dyDescent="0.25">
      <c r="A78" t="s">
        <v>200</v>
      </c>
      <c r="B78">
        <v>17.8</v>
      </c>
      <c r="C78">
        <v>5.7</v>
      </c>
      <c r="D78">
        <v>14.3</v>
      </c>
      <c r="E78">
        <v>124.7</v>
      </c>
      <c r="G78" s="2"/>
      <c r="H78">
        <f t="shared" si="8"/>
        <v>0</v>
      </c>
      <c r="I78">
        <f t="shared" si="9"/>
        <v>1</v>
      </c>
      <c r="J78">
        <f t="shared" si="10"/>
        <v>1</v>
      </c>
      <c r="K78" s="4" t="str">
        <f t="shared" si="11"/>
        <v/>
      </c>
      <c r="L78" t="str">
        <f t="shared" si="12"/>
        <v/>
      </c>
    </row>
    <row r="79" spans="1:12" x14ac:dyDescent="0.25">
      <c r="A79" t="s">
        <v>201</v>
      </c>
      <c r="B79">
        <v>15.8</v>
      </c>
      <c r="C79">
        <v>6.1</v>
      </c>
      <c r="D79">
        <v>16.399999999999999</v>
      </c>
      <c r="E79">
        <v>76.900000000000006</v>
      </c>
      <c r="G79" s="2"/>
      <c r="H79">
        <f t="shared" si="8"/>
        <v>0</v>
      </c>
      <c r="I79">
        <f t="shared" si="9"/>
        <v>1</v>
      </c>
      <c r="J79">
        <f t="shared" si="10"/>
        <v>1</v>
      </c>
      <c r="K79" s="4" t="str">
        <f t="shared" si="11"/>
        <v/>
      </c>
      <c r="L79" t="str">
        <f t="shared" si="12"/>
        <v/>
      </c>
    </row>
    <row r="80" spans="1:12" x14ac:dyDescent="0.25">
      <c r="A80" t="s">
        <v>202</v>
      </c>
      <c r="B80">
        <v>16</v>
      </c>
      <c r="C80">
        <v>6.8</v>
      </c>
      <c r="D80">
        <v>17.399999999999999</v>
      </c>
      <c r="E80">
        <v>75.099999999999994</v>
      </c>
      <c r="G80" s="2"/>
      <c r="H80">
        <f t="shared" si="8"/>
        <v>0</v>
      </c>
      <c r="I80">
        <f t="shared" si="9"/>
        <v>1</v>
      </c>
      <c r="J80">
        <f t="shared" si="10"/>
        <v>1</v>
      </c>
      <c r="K80" s="4" t="str">
        <f t="shared" si="11"/>
        <v/>
      </c>
      <c r="L80" t="str">
        <f t="shared" si="12"/>
        <v/>
      </c>
    </row>
    <row r="81" spans="1:12" x14ac:dyDescent="0.25">
      <c r="A81" t="s">
        <v>203</v>
      </c>
      <c r="B81">
        <v>15.3</v>
      </c>
      <c r="C81">
        <v>4.3</v>
      </c>
      <c r="D81">
        <v>7.6</v>
      </c>
      <c r="E81">
        <v>115.8</v>
      </c>
      <c r="G81" s="2"/>
      <c r="H81">
        <f t="shared" si="8"/>
        <v>0</v>
      </c>
      <c r="I81">
        <f t="shared" si="9"/>
        <v>1</v>
      </c>
      <c r="J81">
        <f t="shared" si="10"/>
        <v>1</v>
      </c>
      <c r="K81" s="4" t="str">
        <f t="shared" si="11"/>
        <v/>
      </c>
      <c r="L81" t="str">
        <f t="shared" si="12"/>
        <v/>
      </c>
    </row>
    <row r="82" spans="1:12" x14ac:dyDescent="0.25">
      <c r="A82" t="s">
        <v>204</v>
      </c>
      <c r="B82">
        <v>15.5</v>
      </c>
      <c r="C82">
        <v>5.6</v>
      </c>
      <c r="D82">
        <v>5.7</v>
      </c>
      <c r="E82">
        <v>132.5</v>
      </c>
      <c r="G82" s="2"/>
      <c r="H82">
        <f t="shared" si="8"/>
        <v>0</v>
      </c>
      <c r="I82">
        <f t="shared" si="9"/>
        <v>1</v>
      </c>
      <c r="J82">
        <f t="shared" si="10"/>
        <v>1</v>
      </c>
      <c r="K82" s="4" t="str">
        <f t="shared" si="11"/>
        <v/>
      </c>
      <c r="L82" t="str">
        <f t="shared" si="12"/>
        <v/>
      </c>
    </row>
    <row r="83" spans="1:12" x14ac:dyDescent="0.25">
      <c r="A83" t="s">
        <v>205</v>
      </c>
      <c r="B83">
        <v>20</v>
      </c>
      <c r="C83">
        <v>18</v>
      </c>
      <c r="D83">
        <v>4.0999999999999996</v>
      </c>
      <c r="E83">
        <v>85.2</v>
      </c>
      <c r="G83" s="2"/>
      <c r="H83">
        <f t="shared" si="8"/>
        <v>0</v>
      </c>
      <c r="I83">
        <f t="shared" si="9"/>
        <v>1</v>
      </c>
      <c r="J83">
        <f t="shared" si="10"/>
        <v>1</v>
      </c>
      <c r="K83" s="4" t="str">
        <f t="shared" si="11"/>
        <v/>
      </c>
      <c r="L83" t="str">
        <f t="shared" si="12"/>
        <v/>
      </c>
    </row>
    <row r="84" spans="1:12" x14ac:dyDescent="0.25">
      <c r="A84" t="s">
        <v>206</v>
      </c>
      <c r="B84">
        <v>15.3</v>
      </c>
      <c r="C84">
        <v>4.5</v>
      </c>
      <c r="D84">
        <v>9.1999999999999993</v>
      </c>
      <c r="E84">
        <v>132</v>
      </c>
      <c r="G84" s="2"/>
      <c r="H84">
        <f t="shared" si="8"/>
        <v>0</v>
      </c>
      <c r="I84">
        <f t="shared" si="9"/>
        <v>1</v>
      </c>
      <c r="J84">
        <f t="shared" si="10"/>
        <v>1</v>
      </c>
      <c r="K84" s="4" t="str">
        <f t="shared" si="11"/>
        <v/>
      </c>
      <c r="L84" t="str">
        <f t="shared" si="12"/>
        <v/>
      </c>
    </row>
    <row r="85" spans="1:12" x14ac:dyDescent="0.25">
      <c r="A85" t="s">
        <v>207</v>
      </c>
      <c r="B85">
        <v>15.6</v>
      </c>
      <c r="C85">
        <v>6.3</v>
      </c>
      <c r="D85">
        <v>7.7</v>
      </c>
      <c r="E85">
        <v>155.1</v>
      </c>
      <c r="G85" s="2"/>
      <c r="H85">
        <f t="shared" si="8"/>
        <v>0</v>
      </c>
      <c r="I85">
        <f t="shared" si="9"/>
        <v>1</v>
      </c>
      <c r="J85">
        <f t="shared" si="10"/>
        <v>1</v>
      </c>
      <c r="K85" s="4" t="str">
        <f t="shared" si="11"/>
        <v/>
      </c>
      <c r="L85" t="str">
        <f t="shared" si="12"/>
        <v/>
      </c>
    </row>
    <row r="86" spans="1:12" x14ac:dyDescent="0.25">
      <c r="A86" t="s">
        <v>208</v>
      </c>
      <c r="B86">
        <v>15.6</v>
      </c>
      <c r="C86">
        <v>6.3</v>
      </c>
      <c r="D86">
        <v>11.6</v>
      </c>
      <c r="E86">
        <v>98.2</v>
      </c>
      <c r="G86" s="2"/>
      <c r="H86">
        <f t="shared" si="8"/>
        <v>0</v>
      </c>
      <c r="I86">
        <f t="shared" si="9"/>
        <v>1</v>
      </c>
      <c r="J86">
        <f t="shared" si="10"/>
        <v>1</v>
      </c>
      <c r="K86" s="4" t="str">
        <f t="shared" si="11"/>
        <v/>
      </c>
      <c r="L86" t="str">
        <f t="shared" si="12"/>
        <v/>
      </c>
    </row>
    <row r="87" spans="1:12" x14ac:dyDescent="0.25">
      <c r="A87" t="s">
        <v>209</v>
      </c>
      <c r="B87">
        <v>15.6</v>
      </c>
      <c r="C87">
        <v>5.6</v>
      </c>
      <c r="D87">
        <v>9.8000000000000007</v>
      </c>
      <c r="E87">
        <v>137.1</v>
      </c>
      <c r="G87" s="2"/>
      <c r="H87">
        <f t="shared" si="8"/>
        <v>0</v>
      </c>
      <c r="I87">
        <f t="shared" si="9"/>
        <v>1</v>
      </c>
      <c r="J87">
        <f t="shared" si="10"/>
        <v>1</v>
      </c>
      <c r="K87" s="4" t="str">
        <f t="shared" si="11"/>
        <v/>
      </c>
      <c r="L87" t="str">
        <f t="shared" si="12"/>
        <v/>
      </c>
    </row>
    <row r="88" spans="1:12" x14ac:dyDescent="0.25">
      <c r="A88" t="s">
        <v>210</v>
      </c>
      <c r="B88">
        <v>17.399999999999999</v>
      </c>
      <c r="C88">
        <v>5.3</v>
      </c>
      <c r="D88">
        <v>11.5</v>
      </c>
      <c r="E88">
        <v>143.19999999999999</v>
      </c>
      <c r="G88" s="2"/>
      <c r="H88">
        <f t="shared" si="8"/>
        <v>0</v>
      </c>
      <c r="I88">
        <f t="shared" si="9"/>
        <v>1</v>
      </c>
      <c r="J88">
        <f t="shared" si="10"/>
        <v>1</v>
      </c>
      <c r="K88" s="4" t="str">
        <f t="shared" si="11"/>
        <v/>
      </c>
      <c r="L88" t="str">
        <f t="shared" si="12"/>
        <v/>
      </c>
    </row>
    <row r="89" spans="1:12" x14ac:dyDescent="0.25">
      <c r="A89" t="s">
        <v>211</v>
      </c>
      <c r="B89">
        <v>15</v>
      </c>
      <c r="C89">
        <v>3.7</v>
      </c>
      <c r="D89">
        <v>7.6</v>
      </c>
      <c r="E89">
        <v>134</v>
      </c>
      <c r="G89" s="2"/>
      <c r="H89">
        <f t="shared" si="8"/>
        <v>0</v>
      </c>
      <c r="I89">
        <f t="shared" si="9"/>
        <v>1</v>
      </c>
      <c r="J89">
        <f t="shared" si="10"/>
        <v>1</v>
      </c>
      <c r="K89" s="4" t="str">
        <f t="shared" si="11"/>
        <v/>
      </c>
      <c r="L89" t="str">
        <f t="shared" si="12"/>
        <v/>
      </c>
    </row>
    <row r="90" spans="1:12" x14ac:dyDescent="0.25">
      <c r="A90" t="s">
        <v>212</v>
      </c>
      <c r="B90">
        <v>18</v>
      </c>
      <c r="C90">
        <v>18</v>
      </c>
      <c r="D90">
        <v>9.9</v>
      </c>
      <c r="E90">
        <v>95.3</v>
      </c>
      <c r="G90" s="2"/>
      <c r="H90">
        <f t="shared" si="8"/>
        <v>0</v>
      </c>
      <c r="I90">
        <f t="shared" si="9"/>
        <v>1</v>
      </c>
      <c r="J90">
        <f t="shared" si="10"/>
        <v>1</v>
      </c>
      <c r="K90" s="4" t="str">
        <f t="shared" si="11"/>
        <v/>
      </c>
      <c r="L90" t="str">
        <f t="shared" si="12"/>
        <v/>
      </c>
    </row>
    <row r="91" spans="1:12" x14ac:dyDescent="0.25">
      <c r="A91" t="s">
        <v>213</v>
      </c>
      <c r="B91">
        <v>16.8</v>
      </c>
      <c r="C91">
        <v>5.7</v>
      </c>
      <c r="D91">
        <v>8</v>
      </c>
      <c r="E91">
        <v>81.900000000000006</v>
      </c>
      <c r="G91" s="2">
        <v>1</v>
      </c>
      <c r="H91">
        <f t="shared" si="8"/>
        <v>5.1139380158398966</v>
      </c>
      <c r="I91">
        <f t="shared" si="9"/>
        <v>1</v>
      </c>
      <c r="J91">
        <f t="shared" si="10"/>
        <v>1</v>
      </c>
      <c r="K91" s="4">
        <f t="shared" si="11"/>
        <v>0.72027295997745022</v>
      </c>
      <c r="L91" t="str">
        <f t="shared" si="12"/>
        <v/>
      </c>
    </row>
    <row r="92" spans="1:12" x14ac:dyDescent="0.25">
      <c r="A92" t="s">
        <v>214</v>
      </c>
      <c r="B92">
        <v>17.8</v>
      </c>
      <c r="C92">
        <v>8.1999999999999993</v>
      </c>
      <c r="D92">
        <v>12.9</v>
      </c>
      <c r="E92">
        <v>97.4</v>
      </c>
      <c r="G92" s="2"/>
      <c r="H92">
        <f t="shared" si="8"/>
        <v>0</v>
      </c>
      <c r="I92">
        <f t="shared" si="9"/>
        <v>1</v>
      </c>
      <c r="J92">
        <f t="shared" si="10"/>
        <v>1</v>
      </c>
      <c r="K92" s="4" t="str">
        <f t="shared" si="11"/>
        <v/>
      </c>
      <c r="L92" t="str">
        <f t="shared" si="12"/>
        <v/>
      </c>
    </row>
    <row r="93" spans="1:12" x14ac:dyDescent="0.25">
      <c r="A93" t="s">
        <v>215</v>
      </c>
      <c r="B93">
        <v>18</v>
      </c>
      <c r="C93">
        <v>1.4</v>
      </c>
      <c r="D93">
        <v>2</v>
      </c>
      <c r="E93">
        <v>106.6</v>
      </c>
      <c r="G93" s="2">
        <v>0</v>
      </c>
      <c r="H93">
        <f t="shared" si="8"/>
        <v>10.250067710775438</v>
      </c>
      <c r="I93">
        <f t="shared" si="9"/>
        <v>1</v>
      </c>
      <c r="J93">
        <f t="shared" si="10"/>
        <v>1</v>
      </c>
      <c r="K93" s="4">
        <f t="shared" si="11"/>
        <v>1.443671508559921</v>
      </c>
      <c r="L93" t="str">
        <f t="shared" si="12"/>
        <v/>
      </c>
    </row>
    <row r="94" spans="1:12" x14ac:dyDescent="0.25">
      <c r="A94" t="s">
        <v>216</v>
      </c>
      <c r="B94">
        <v>17.600000000000001</v>
      </c>
      <c r="C94">
        <v>1</v>
      </c>
      <c r="D94">
        <v>3.1</v>
      </c>
      <c r="E94">
        <v>123.9</v>
      </c>
      <c r="G94" s="2">
        <v>0</v>
      </c>
      <c r="H94">
        <f t="shared" si="8"/>
        <v>10.09183989220929</v>
      </c>
      <c r="I94">
        <f t="shared" si="9"/>
        <v>1</v>
      </c>
      <c r="J94">
        <f>I94*J95</f>
        <v>1</v>
      </c>
      <c r="K94" s="4">
        <f t="shared" si="11"/>
        <v>1.4213859003111677</v>
      </c>
      <c r="L94" t="str">
        <f t="shared" si="12"/>
        <v/>
      </c>
    </row>
    <row r="95" spans="1:12" x14ac:dyDescent="0.25">
      <c r="J95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D5" sqref="D5"/>
    </sheetView>
  </sheetViews>
  <sheetFormatPr defaultRowHeight="15" x14ac:dyDescent="0.25"/>
  <cols>
    <col min="1" max="1" width="21.7109375" customWidth="1"/>
  </cols>
  <sheetData>
    <row r="1" spans="1:17" x14ac:dyDescent="0.25">
      <c r="C1" s="14" t="s">
        <v>728</v>
      </c>
    </row>
    <row r="2" spans="1:17" x14ac:dyDescent="0.25">
      <c r="B2" t="s">
        <v>226</v>
      </c>
      <c r="C2" t="s">
        <v>227</v>
      </c>
      <c r="D2" t="s">
        <v>228</v>
      </c>
      <c r="E2" t="s">
        <v>107</v>
      </c>
    </row>
    <row r="3" spans="1:17" x14ac:dyDescent="0.25">
      <c r="A3" t="s">
        <v>132</v>
      </c>
      <c r="B3" s="12">
        <v>17</v>
      </c>
      <c r="C3" s="12">
        <v>8</v>
      </c>
      <c r="D3" s="12">
        <v>3</v>
      </c>
      <c r="E3" s="12">
        <v>5</v>
      </c>
      <c r="L3" t="s">
        <v>280</v>
      </c>
    </row>
    <row r="4" spans="1:17" x14ac:dyDescent="0.25">
      <c r="A4" s="5" t="s">
        <v>241</v>
      </c>
      <c r="B4" s="5">
        <f>G7</f>
        <v>17.850000000000001</v>
      </c>
      <c r="C4" s="5">
        <f t="shared" ref="C4:D4" si="0">H7</f>
        <v>6.45</v>
      </c>
      <c r="D4" s="5">
        <f t="shared" si="0"/>
        <v>12.290000000000001</v>
      </c>
      <c r="L4" t="s">
        <v>281</v>
      </c>
    </row>
    <row r="5" spans="1:17" x14ac:dyDescent="0.25">
      <c r="A5" t="s">
        <v>238</v>
      </c>
      <c r="B5" s="5">
        <f>dD-B4</f>
        <v>-0.85000000000000142</v>
      </c>
      <c r="C5" s="5">
        <f>dP-C4</f>
        <v>1.5499999999999998</v>
      </c>
      <c r="D5" s="5">
        <f>dH-D4</f>
        <v>-9.2900000000000009</v>
      </c>
      <c r="L5" t="s">
        <v>284</v>
      </c>
      <c r="M5" t="s">
        <v>226</v>
      </c>
      <c r="N5" t="s">
        <v>227</v>
      </c>
      <c r="O5" t="s">
        <v>228</v>
      </c>
      <c r="P5" t="s">
        <v>135</v>
      </c>
      <c r="Q5" t="s">
        <v>234</v>
      </c>
    </row>
    <row r="6" spans="1:17" x14ac:dyDescent="0.25">
      <c r="B6" t="s">
        <v>135</v>
      </c>
      <c r="C6" s="5">
        <f>SQRT(4*(B4-dD)^2+(C4-dP)^2+(D4-dH)^2)</f>
        <v>9.5706112657447342</v>
      </c>
      <c r="D6" t="s">
        <v>234</v>
      </c>
      <c r="E6" s="4">
        <f>C6/R_</f>
        <v>1.9141222531489468</v>
      </c>
      <c r="F6" t="s">
        <v>224</v>
      </c>
      <c r="G6" t="s">
        <v>242</v>
      </c>
      <c r="H6" t="s">
        <v>243</v>
      </c>
      <c r="I6" t="s">
        <v>244</v>
      </c>
      <c r="K6" t="s">
        <v>282</v>
      </c>
      <c r="L6" s="2" t="s">
        <v>189</v>
      </c>
      <c r="M6" s="2">
        <v>16</v>
      </c>
      <c r="N6" s="2">
        <v>9</v>
      </c>
      <c r="O6" s="2">
        <v>5.0999999999999996</v>
      </c>
      <c r="P6" s="4">
        <f>SQRT(4*(M6-dD)^2+(N6-dP)^2+(O6-dH)^2)</f>
        <v>3.0675723300355933</v>
      </c>
      <c r="Q6" s="4">
        <f>P6/R_</f>
        <v>0.61351446600711868</v>
      </c>
    </row>
    <row r="7" spans="1:17" x14ac:dyDescent="0.25">
      <c r="C7" s="5"/>
      <c r="F7">
        <f>SUM(F9:F101)</f>
        <v>100</v>
      </c>
      <c r="G7" s="5">
        <f t="shared" ref="G7:I7" si="1">SUM(G9:G101)</f>
        <v>17.850000000000001</v>
      </c>
      <c r="H7" s="5">
        <f t="shared" si="1"/>
        <v>6.45</v>
      </c>
      <c r="I7" s="5">
        <f t="shared" si="1"/>
        <v>12.290000000000001</v>
      </c>
      <c r="K7" t="s">
        <v>283</v>
      </c>
      <c r="L7" s="2" t="s">
        <v>215</v>
      </c>
      <c r="M7" s="2">
        <v>18</v>
      </c>
      <c r="N7" s="2">
        <v>1.4</v>
      </c>
      <c r="O7" s="2">
        <v>2</v>
      </c>
      <c r="P7" s="4">
        <f>SQRT(4*(M7-dD)^2+(N7-dP)^2+(O7-dH)^2)</f>
        <v>6.9685005560737379</v>
      </c>
      <c r="Q7" s="4">
        <f>P7/R_</f>
        <v>1.3937001112147476</v>
      </c>
    </row>
    <row r="8" spans="1:17" x14ac:dyDescent="0.25">
      <c r="A8" t="s">
        <v>133</v>
      </c>
      <c r="B8" t="s">
        <v>226</v>
      </c>
      <c r="C8" t="s">
        <v>227</v>
      </c>
      <c r="D8" t="s">
        <v>228</v>
      </c>
      <c r="E8" t="s">
        <v>134</v>
      </c>
      <c r="F8" t="s">
        <v>21</v>
      </c>
      <c r="G8" s="5" t="s">
        <v>245</v>
      </c>
      <c r="H8" s="5" t="s">
        <v>246</v>
      </c>
      <c r="I8" s="5" t="s">
        <v>247</v>
      </c>
      <c r="K8" s="5" t="s">
        <v>285</v>
      </c>
      <c r="L8" s="5" t="s">
        <v>286</v>
      </c>
      <c r="P8" s="4"/>
      <c r="Q8" s="4"/>
    </row>
    <row r="9" spans="1:17" x14ac:dyDescent="0.25">
      <c r="A9" t="s">
        <v>136</v>
      </c>
      <c r="B9">
        <v>15.5</v>
      </c>
      <c r="C9">
        <v>10.4</v>
      </c>
      <c r="D9">
        <v>7</v>
      </c>
      <c r="E9">
        <v>73.8</v>
      </c>
      <c r="F9" s="2">
        <v>10</v>
      </c>
      <c r="G9" s="5">
        <f>IF(F9&lt;&gt;"",F9/100*B9,"")</f>
        <v>1.55</v>
      </c>
      <c r="H9" s="5">
        <f>IF(F9&lt;&gt;"",F9/100*C9,"")</f>
        <v>1.04</v>
      </c>
      <c r="I9" s="5">
        <f>IF(F9&lt;&gt;"",F9/100*D9,"")</f>
        <v>0.70000000000000007</v>
      </c>
      <c r="K9">
        <v>100</v>
      </c>
      <c r="L9">
        <f>100-K9</f>
        <v>0</v>
      </c>
      <c r="M9">
        <f>($K9*M$6+$L9*M$7)/100</f>
        <v>16</v>
      </c>
      <c r="N9">
        <f t="shared" ref="N9:O9" si="2">($K9*N$6+$L9*N$7)/100</f>
        <v>9</v>
      </c>
      <c r="O9">
        <f t="shared" si="2"/>
        <v>5.0999999999999996</v>
      </c>
      <c r="P9" s="4">
        <f t="shared" ref="P9:P19" si="3">SQRT(4*(M9-dD)^2+(N9-dP)^2+(O9-dH)^2)</f>
        <v>3.0675723300355933</v>
      </c>
      <c r="Q9" s="4">
        <f t="shared" ref="Q9:Q19" si="4">P9/R_</f>
        <v>0.61351446600711868</v>
      </c>
    </row>
    <row r="10" spans="1:17" x14ac:dyDescent="0.25">
      <c r="A10" t="s">
        <v>137</v>
      </c>
      <c r="B10">
        <v>15.3</v>
      </c>
      <c r="C10">
        <v>18</v>
      </c>
      <c r="D10">
        <v>6.1</v>
      </c>
      <c r="E10">
        <v>52.9</v>
      </c>
      <c r="F10" s="2"/>
      <c r="G10" s="5" t="str">
        <f t="shared" ref="G10:G73" si="5">IF(F10&lt;&gt;"",F10/100*B10,"")</f>
        <v/>
      </c>
      <c r="H10" s="5" t="str">
        <f t="shared" ref="H10:H73" si="6">IF(F10&lt;&gt;"",F10/100*C10,"")</f>
        <v/>
      </c>
      <c r="I10" s="5" t="str">
        <f t="shared" ref="I10:I73" si="7">IF(F10&lt;&gt;"",F10/100*D10,"")</f>
        <v/>
      </c>
      <c r="K10">
        <v>90</v>
      </c>
      <c r="L10">
        <f t="shared" ref="L10:L19" si="8">100-K10</f>
        <v>10</v>
      </c>
      <c r="M10">
        <f t="shared" ref="M10:O19" si="9">($K10*M$6+$L10*M$7)/100</f>
        <v>16.2</v>
      </c>
      <c r="N10">
        <f t="shared" si="9"/>
        <v>8.24</v>
      </c>
      <c r="O10">
        <f t="shared" si="9"/>
        <v>4.7899999999999991</v>
      </c>
      <c r="P10" s="4">
        <f t="shared" si="3"/>
        <v>2.4128199269734161</v>
      </c>
      <c r="Q10" s="4">
        <f t="shared" si="4"/>
        <v>0.4825639853946832</v>
      </c>
    </row>
    <row r="11" spans="1:17" x14ac:dyDescent="0.25">
      <c r="A11" t="s">
        <v>138</v>
      </c>
      <c r="B11">
        <v>15.8</v>
      </c>
      <c r="C11">
        <v>3.3</v>
      </c>
      <c r="D11">
        <v>6.1</v>
      </c>
      <c r="E11">
        <v>148</v>
      </c>
      <c r="F11" s="2"/>
      <c r="G11" s="5" t="str">
        <f t="shared" si="5"/>
        <v/>
      </c>
      <c r="H11" s="5" t="str">
        <f t="shared" si="6"/>
        <v/>
      </c>
      <c r="I11" s="5" t="str">
        <f t="shared" si="7"/>
        <v/>
      </c>
      <c r="K11">
        <v>80</v>
      </c>
      <c r="L11">
        <f t="shared" si="8"/>
        <v>20</v>
      </c>
      <c r="M11">
        <f t="shared" si="9"/>
        <v>16.399999999999999</v>
      </c>
      <c r="N11">
        <f t="shared" si="9"/>
        <v>7.48</v>
      </c>
      <c r="O11">
        <f t="shared" si="9"/>
        <v>4.4800000000000004</v>
      </c>
      <c r="P11" s="4">
        <f t="shared" si="3"/>
        <v>1.9750443033005634</v>
      </c>
      <c r="Q11" s="4">
        <f t="shared" si="4"/>
        <v>0.39500886066011265</v>
      </c>
    </row>
    <row r="12" spans="1:17" x14ac:dyDescent="0.25">
      <c r="A12" t="s">
        <v>139</v>
      </c>
      <c r="B12">
        <v>15.9</v>
      </c>
      <c r="C12">
        <v>5.9</v>
      </c>
      <c r="D12">
        <v>13.9</v>
      </c>
      <c r="E12">
        <v>108.6</v>
      </c>
      <c r="F12" s="2"/>
      <c r="G12" s="5" t="str">
        <f t="shared" si="5"/>
        <v/>
      </c>
      <c r="H12" s="5" t="str">
        <f t="shared" si="6"/>
        <v/>
      </c>
      <c r="I12" s="5" t="str">
        <f t="shared" si="7"/>
        <v/>
      </c>
      <c r="K12">
        <v>70</v>
      </c>
      <c r="L12">
        <f t="shared" si="8"/>
        <v>30</v>
      </c>
      <c r="M12">
        <f t="shared" si="9"/>
        <v>16.600000000000001</v>
      </c>
      <c r="N12">
        <f t="shared" si="9"/>
        <v>6.72</v>
      </c>
      <c r="O12">
        <f t="shared" si="9"/>
        <v>4.17</v>
      </c>
      <c r="P12" s="4">
        <f t="shared" si="3"/>
        <v>1.9097905644337014</v>
      </c>
      <c r="Q12" s="4">
        <f t="shared" si="4"/>
        <v>0.38195811288674031</v>
      </c>
    </row>
    <row r="13" spans="1:17" x14ac:dyDescent="0.25">
      <c r="A13" t="s">
        <v>218</v>
      </c>
      <c r="B13">
        <v>18.399999999999999</v>
      </c>
      <c r="C13">
        <v>0</v>
      </c>
      <c r="D13">
        <v>2</v>
      </c>
      <c r="E13">
        <v>52.9</v>
      </c>
      <c r="F13" s="2"/>
      <c r="G13" s="5" t="str">
        <f t="shared" si="5"/>
        <v/>
      </c>
      <c r="H13" s="5" t="str">
        <f t="shared" si="6"/>
        <v/>
      </c>
      <c r="I13" s="5" t="str">
        <f t="shared" si="7"/>
        <v/>
      </c>
      <c r="K13">
        <v>60</v>
      </c>
      <c r="L13">
        <f t="shared" si="8"/>
        <v>40</v>
      </c>
      <c r="M13">
        <f t="shared" si="9"/>
        <v>16.8</v>
      </c>
      <c r="N13">
        <f t="shared" si="9"/>
        <v>5.96</v>
      </c>
      <c r="O13">
        <f t="shared" si="9"/>
        <v>3.86</v>
      </c>
      <c r="P13" s="4">
        <f t="shared" si="3"/>
        <v>2.2497110925627761</v>
      </c>
      <c r="Q13" s="4">
        <f t="shared" si="4"/>
        <v>0.44994221851255523</v>
      </c>
    </row>
    <row r="14" spans="1:17" x14ac:dyDescent="0.25">
      <c r="A14" t="s">
        <v>140</v>
      </c>
      <c r="B14">
        <v>18.399999999999999</v>
      </c>
      <c r="C14">
        <v>6.3</v>
      </c>
      <c r="D14">
        <v>13.7</v>
      </c>
      <c r="E14">
        <v>103.8</v>
      </c>
      <c r="F14" s="2">
        <v>80</v>
      </c>
      <c r="G14" s="5">
        <f t="shared" si="5"/>
        <v>14.719999999999999</v>
      </c>
      <c r="H14" s="5">
        <f t="shared" si="6"/>
        <v>5.04</v>
      </c>
      <c r="I14" s="5">
        <f t="shared" si="7"/>
        <v>10.96</v>
      </c>
      <c r="K14">
        <v>50</v>
      </c>
      <c r="L14">
        <f t="shared" si="8"/>
        <v>50</v>
      </c>
      <c r="M14">
        <f t="shared" si="9"/>
        <v>17</v>
      </c>
      <c r="N14">
        <f t="shared" si="9"/>
        <v>5.2</v>
      </c>
      <c r="O14">
        <f t="shared" si="9"/>
        <v>3.55</v>
      </c>
      <c r="P14" s="4">
        <f t="shared" si="3"/>
        <v>2.8535066146760548</v>
      </c>
      <c r="Q14" s="4">
        <f t="shared" si="4"/>
        <v>0.57070132293521092</v>
      </c>
    </row>
    <row r="15" spans="1:17" x14ac:dyDescent="0.25">
      <c r="A15" t="s">
        <v>141</v>
      </c>
      <c r="B15">
        <v>20</v>
      </c>
      <c r="C15">
        <v>5.0999999999999996</v>
      </c>
      <c r="D15">
        <v>5.2</v>
      </c>
      <c r="E15">
        <v>190.3</v>
      </c>
      <c r="F15" s="2"/>
      <c r="G15" s="5" t="str">
        <f t="shared" si="5"/>
        <v/>
      </c>
      <c r="H15" s="5" t="str">
        <f t="shared" si="6"/>
        <v/>
      </c>
      <c r="I15" s="5" t="str">
        <f t="shared" si="7"/>
        <v/>
      </c>
      <c r="K15">
        <v>40</v>
      </c>
      <c r="L15">
        <f t="shared" si="8"/>
        <v>60</v>
      </c>
      <c r="M15">
        <f t="shared" si="9"/>
        <v>17.2</v>
      </c>
      <c r="N15">
        <f t="shared" si="9"/>
        <v>4.4400000000000004</v>
      </c>
      <c r="O15">
        <f t="shared" si="9"/>
        <v>3.24</v>
      </c>
      <c r="P15" s="4">
        <f t="shared" si="3"/>
        <v>3.5904317289150613</v>
      </c>
      <c r="Q15" s="4">
        <f t="shared" si="4"/>
        <v>0.71808634578301223</v>
      </c>
    </row>
    <row r="16" spans="1:17" x14ac:dyDescent="0.25">
      <c r="A16" t="s">
        <v>142</v>
      </c>
      <c r="B16">
        <v>16</v>
      </c>
      <c r="C16">
        <v>5.7</v>
      </c>
      <c r="D16">
        <v>15.8</v>
      </c>
      <c r="E16">
        <v>92</v>
      </c>
      <c r="F16" s="2"/>
      <c r="G16" s="5" t="str">
        <f t="shared" si="5"/>
        <v/>
      </c>
      <c r="H16" s="5" t="str">
        <f t="shared" si="6"/>
        <v/>
      </c>
      <c r="I16" s="5" t="str">
        <f t="shared" si="7"/>
        <v/>
      </c>
      <c r="K16">
        <v>30</v>
      </c>
      <c r="L16">
        <f t="shared" si="8"/>
        <v>70</v>
      </c>
      <c r="M16">
        <f t="shared" si="9"/>
        <v>17.399999999999999</v>
      </c>
      <c r="N16">
        <f t="shared" si="9"/>
        <v>3.68</v>
      </c>
      <c r="O16">
        <f t="shared" si="9"/>
        <v>2.93</v>
      </c>
      <c r="P16" s="4">
        <f t="shared" si="3"/>
        <v>4.3940072826521348</v>
      </c>
      <c r="Q16" s="4">
        <f t="shared" si="4"/>
        <v>0.87880145653042696</v>
      </c>
    </row>
    <row r="17" spans="1:17" x14ac:dyDescent="0.25">
      <c r="A17" t="s">
        <v>143</v>
      </c>
      <c r="B17">
        <v>15.8</v>
      </c>
      <c r="C17">
        <v>5.7</v>
      </c>
      <c r="D17">
        <v>14.5</v>
      </c>
      <c r="E17">
        <v>92</v>
      </c>
      <c r="F17" s="2"/>
      <c r="G17" s="5" t="str">
        <f t="shared" si="5"/>
        <v/>
      </c>
      <c r="H17" s="5" t="str">
        <f t="shared" si="6"/>
        <v/>
      </c>
      <c r="I17" s="5" t="str">
        <f t="shared" si="7"/>
        <v/>
      </c>
      <c r="K17">
        <v>20</v>
      </c>
      <c r="L17">
        <f t="shared" si="8"/>
        <v>80</v>
      </c>
      <c r="M17">
        <f t="shared" si="9"/>
        <v>17.600000000000001</v>
      </c>
      <c r="N17">
        <f t="shared" si="9"/>
        <v>2.92</v>
      </c>
      <c r="O17">
        <f t="shared" si="9"/>
        <v>2.62</v>
      </c>
      <c r="P17" s="4">
        <f t="shared" si="3"/>
        <v>5.2336220727140788</v>
      </c>
      <c r="Q17" s="4">
        <f t="shared" si="4"/>
        <v>1.0467244145428158</v>
      </c>
    </row>
    <row r="18" spans="1:17" x14ac:dyDescent="0.25">
      <c r="A18" t="s">
        <v>144</v>
      </c>
      <c r="B18">
        <v>15.8</v>
      </c>
      <c r="C18">
        <v>3.7</v>
      </c>
      <c r="D18">
        <v>6.3</v>
      </c>
      <c r="E18">
        <v>132.6</v>
      </c>
      <c r="F18" s="2">
        <v>10</v>
      </c>
      <c r="G18" s="5">
        <f t="shared" si="5"/>
        <v>1.58</v>
      </c>
      <c r="H18" s="5">
        <f t="shared" si="6"/>
        <v>0.37000000000000005</v>
      </c>
      <c r="I18" s="5">
        <f t="shared" si="7"/>
        <v>0.63</v>
      </c>
      <c r="K18">
        <v>10</v>
      </c>
      <c r="L18">
        <f t="shared" si="8"/>
        <v>90</v>
      </c>
      <c r="M18">
        <f t="shared" si="9"/>
        <v>17.8</v>
      </c>
      <c r="N18">
        <f t="shared" si="9"/>
        <v>2.16</v>
      </c>
      <c r="O18">
        <f t="shared" si="9"/>
        <v>2.31</v>
      </c>
      <c r="P18" s="4">
        <f t="shared" si="3"/>
        <v>6.0943990679967781</v>
      </c>
      <c r="Q18" s="4">
        <f t="shared" si="4"/>
        <v>1.2188798135993557</v>
      </c>
    </row>
    <row r="19" spans="1:17" x14ac:dyDescent="0.25">
      <c r="A19" t="s">
        <v>145</v>
      </c>
      <c r="B19">
        <v>15</v>
      </c>
      <c r="C19">
        <v>3.7</v>
      </c>
      <c r="D19">
        <v>6</v>
      </c>
      <c r="E19">
        <v>134.80000000000001</v>
      </c>
      <c r="F19" s="2"/>
      <c r="G19" s="5" t="str">
        <f t="shared" si="5"/>
        <v/>
      </c>
      <c r="H19" s="5" t="str">
        <f t="shared" si="6"/>
        <v/>
      </c>
      <c r="I19" s="5" t="str">
        <f t="shared" si="7"/>
        <v/>
      </c>
      <c r="K19">
        <v>0</v>
      </c>
      <c r="L19">
        <f t="shared" si="8"/>
        <v>100</v>
      </c>
      <c r="M19">
        <f t="shared" si="9"/>
        <v>18</v>
      </c>
      <c r="N19">
        <f t="shared" si="9"/>
        <v>1.4</v>
      </c>
      <c r="O19">
        <f t="shared" si="9"/>
        <v>2</v>
      </c>
      <c r="P19" s="4">
        <f t="shared" si="3"/>
        <v>6.9685005560737379</v>
      </c>
      <c r="Q19" s="4">
        <f t="shared" si="4"/>
        <v>1.3937001112147476</v>
      </c>
    </row>
    <row r="20" spans="1:17" x14ac:dyDescent="0.25">
      <c r="A20" t="s">
        <v>146</v>
      </c>
      <c r="B20">
        <v>15.2</v>
      </c>
      <c r="C20">
        <v>5.0999999999999996</v>
      </c>
      <c r="D20">
        <v>14.7</v>
      </c>
      <c r="E20">
        <v>96</v>
      </c>
      <c r="F20" s="2"/>
      <c r="G20" s="5" t="str">
        <f t="shared" si="5"/>
        <v/>
      </c>
      <c r="H20" s="5" t="str">
        <f t="shared" si="6"/>
        <v/>
      </c>
      <c r="I20" s="5" t="str">
        <f t="shared" si="7"/>
        <v/>
      </c>
    </row>
    <row r="21" spans="1:17" x14ac:dyDescent="0.25">
      <c r="A21" t="s">
        <v>147</v>
      </c>
      <c r="B21">
        <v>18.3</v>
      </c>
      <c r="C21">
        <v>5.6</v>
      </c>
      <c r="D21">
        <v>5.5</v>
      </c>
      <c r="E21">
        <v>178.1</v>
      </c>
      <c r="F21" s="2"/>
      <c r="G21" s="5" t="str">
        <f t="shared" si="5"/>
        <v/>
      </c>
      <c r="H21" s="5" t="str">
        <f t="shared" si="6"/>
        <v/>
      </c>
      <c r="I21" s="5" t="str">
        <f t="shared" si="7"/>
        <v/>
      </c>
    </row>
    <row r="22" spans="1:17" x14ac:dyDescent="0.25">
      <c r="A22" t="s">
        <v>148</v>
      </c>
      <c r="B22">
        <v>16</v>
      </c>
      <c r="C22">
        <v>4.0999999999999996</v>
      </c>
      <c r="D22">
        <v>8.1999999999999993</v>
      </c>
      <c r="E22">
        <v>208.2</v>
      </c>
      <c r="F22" s="2"/>
      <c r="G22" s="5" t="str">
        <f t="shared" si="5"/>
        <v/>
      </c>
      <c r="H22" s="5" t="str">
        <f t="shared" si="6"/>
        <v/>
      </c>
      <c r="I22" s="5" t="str">
        <f t="shared" si="7"/>
        <v/>
      </c>
      <c r="K22" s="10" t="s">
        <v>135</v>
      </c>
      <c r="L22" s="2">
        <v>4</v>
      </c>
    </row>
    <row r="23" spans="1:17" x14ac:dyDescent="0.25">
      <c r="A23" t="s">
        <v>149</v>
      </c>
      <c r="B23">
        <v>15.3</v>
      </c>
      <c r="C23">
        <v>7.5</v>
      </c>
      <c r="D23">
        <v>6.8</v>
      </c>
      <c r="E23">
        <v>171.2</v>
      </c>
      <c r="F23" s="2"/>
      <c r="G23" s="5" t="str">
        <f t="shared" si="5"/>
        <v/>
      </c>
      <c r="H23" s="5" t="str">
        <f t="shared" si="6"/>
        <v/>
      </c>
      <c r="I23" s="5" t="str">
        <f t="shared" si="7"/>
        <v/>
      </c>
      <c r="K23" s="10" t="s">
        <v>134</v>
      </c>
      <c r="L23" s="2">
        <v>100</v>
      </c>
    </row>
    <row r="24" spans="1:17" x14ac:dyDescent="0.25">
      <c r="A24" t="s">
        <v>150</v>
      </c>
      <c r="B24">
        <v>15.7</v>
      </c>
      <c r="C24">
        <v>5.5</v>
      </c>
      <c r="D24">
        <v>5.9</v>
      </c>
      <c r="E24">
        <v>149.30000000000001</v>
      </c>
      <c r="F24" s="2"/>
      <c r="G24" s="5" t="str">
        <f t="shared" si="5"/>
        <v/>
      </c>
      <c r="H24" s="5" t="str">
        <f t="shared" si="6"/>
        <v/>
      </c>
      <c r="I24" s="5" t="str">
        <f t="shared" si="7"/>
        <v/>
      </c>
      <c r="K24" s="10" t="s">
        <v>504</v>
      </c>
      <c r="L24" s="2">
        <v>25</v>
      </c>
    </row>
    <row r="25" spans="1:17" x14ac:dyDescent="0.25">
      <c r="A25" t="s">
        <v>151</v>
      </c>
      <c r="B25">
        <v>19.7</v>
      </c>
      <c r="C25">
        <v>15</v>
      </c>
      <c r="D25">
        <v>7.4</v>
      </c>
      <c r="E25">
        <v>110.8</v>
      </c>
      <c r="F25" s="2"/>
      <c r="G25" s="5" t="str">
        <f t="shared" si="5"/>
        <v/>
      </c>
      <c r="H25" s="5" t="str">
        <f t="shared" si="6"/>
        <v/>
      </c>
      <c r="I25" s="5" t="str">
        <f t="shared" si="7"/>
        <v/>
      </c>
      <c r="K25" s="10"/>
    </row>
    <row r="26" spans="1:17" x14ac:dyDescent="0.25">
      <c r="A26" t="s">
        <v>219</v>
      </c>
      <c r="B26">
        <v>17.8</v>
      </c>
      <c r="C26">
        <v>3.1</v>
      </c>
      <c r="D26">
        <v>5.7</v>
      </c>
      <c r="E26">
        <v>80.5</v>
      </c>
      <c r="F26" s="2"/>
      <c r="G26" s="5" t="str">
        <f t="shared" si="5"/>
        <v/>
      </c>
      <c r="H26" s="5" t="str">
        <f t="shared" si="6"/>
        <v/>
      </c>
      <c r="I26" s="5" t="str">
        <f t="shared" si="7"/>
        <v/>
      </c>
      <c r="K26" s="10" t="s">
        <v>505</v>
      </c>
      <c r="L26" s="15">
        <f>8.3*(Temperature+273.15)</f>
        <v>2474.645</v>
      </c>
    </row>
    <row r="27" spans="1:17" x14ac:dyDescent="0.25">
      <c r="A27" t="s">
        <v>221</v>
      </c>
      <c r="B27">
        <v>18.5</v>
      </c>
      <c r="C27">
        <v>6.5</v>
      </c>
      <c r="D27">
        <v>13.7</v>
      </c>
      <c r="E27">
        <v>105</v>
      </c>
      <c r="F27" s="2"/>
      <c r="G27" s="5" t="str">
        <f t="shared" si="5"/>
        <v/>
      </c>
      <c r="H27" s="5" t="str">
        <f t="shared" si="6"/>
        <v/>
      </c>
      <c r="I27" s="5" t="str">
        <f t="shared" si="7"/>
        <v/>
      </c>
    </row>
    <row r="28" spans="1:17" x14ac:dyDescent="0.25">
      <c r="A28" t="s">
        <v>152</v>
      </c>
      <c r="B28">
        <v>16.8</v>
      </c>
      <c r="C28">
        <v>0</v>
      </c>
      <c r="D28">
        <v>0.2</v>
      </c>
      <c r="E28">
        <v>108.9</v>
      </c>
      <c r="F28" s="2"/>
      <c r="G28" s="5" t="str">
        <f t="shared" si="5"/>
        <v/>
      </c>
      <c r="H28" s="5" t="str">
        <f t="shared" si="6"/>
        <v/>
      </c>
      <c r="I28" s="5" t="str">
        <f t="shared" si="7"/>
        <v/>
      </c>
      <c r="K28" s="10" t="s">
        <v>506</v>
      </c>
      <c r="L28" s="16">
        <f>MVolChi*Distance^2/(4*RT)</f>
        <v>0.16163934624966408</v>
      </c>
    </row>
    <row r="29" spans="1:17" x14ac:dyDescent="0.25">
      <c r="A29" t="s">
        <v>153</v>
      </c>
      <c r="B29">
        <v>17.399999999999999</v>
      </c>
      <c r="C29">
        <v>4.0999999999999996</v>
      </c>
      <c r="D29">
        <v>13.5</v>
      </c>
      <c r="E29">
        <v>105.7</v>
      </c>
      <c r="F29" s="2"/>
      <c r="G29" s="5" t="str">
        <f t="shared" si="5"/>
        <v/>
      </c>
      <c r="H29" s="5" t="str">
        <f t="shared" si="6"/>
        <v/>
      </c>
      <c r="I29" s="5" t="str">
        <f t="shared" si="7"/>
        <v/>
      </c>
    </row>
    <row r="30" spans="1:17" x14ac:dyDescent="0.25">
      <c r="A30" t="s">
        <v>154</v>
      </c>
      <c r="B30">
        <v>17.8</v>
      </c>
      <c r="C30">
        <v>8.4</v>
      </c>
      <c r="D30">
        <v>5.0999999999999996</v>
      </c>
      <c r="E30">
        <v>104.2</v>
      </c>
      <c r="F30" s="2"/>
      <c r="G30" s="5" t="str">
        <f t="shared" si="5"/>
        <v/>
      </c>
      <c r="H30" s="5" t="str">
        <f t="shared" si="6"/>
        <v/>
      </c>
      <c r="I30" s="5" t="str">
        <f t="shared" si="7"/>
        <v/>
      </c>
    </row>
    <row r="31" spans="1:17" x14ac:dyDescent="0.25">
      <c r="A31" t="s">
        <v>155</v>
      </c>
      <c r="B31">
        <v>16</v>
      </c>
      <c r="C31">
        <v>3.7</v>
      </c>
      <c r="D31">
        <v>4.0999999999999996</v>
      </c>
      <c r="E31">
        <v>177.4</v>
      </c>
      <c r="F31" s="2"/>
      <c r="G31" s="5" t="str">
        <f t="shared" si="5"/>
        <v/>
      </c>
      <c r="H31" s="5" t="str">
        <f t="shared" si="6"/>
        <v/>
      </c>
      <c r="I31" s="5" t="str">
        <f t="shared" si="7"/>
        <v/>
      </c>
    </row>
    <row r="32" spans="1:17" x14ac:dyDescent="0.25">
      <c r="A32" t="s">
        <v>156</v>
      </c>
      <c r="B32">
        <v>15.8</v>
      </c>
      <c r="C32">
        <v>8.1999999999999993</v>
      </c>
      <c r="D32">
        <v>10.8</v>
      </c>
      <c r="E32">
        <v>124.3</v>
      </c>
      <c r="F32" s="2"/>
      <c r="G32" s="5" t="str">
        <f t="shared" si="5"/>
        <v/>
      </c>
      <c r="H32" s="5" t="str">
        <f t="shared" si="6"/>
        <v/>
      </c>
      <c r="I32" s="5" t="str">
        <f t="shared" si="7"/>
        <v/>
      </c>
    </row>
    <row r="33" spans="1:9" x14ac:dyDescent="0.25">
      <c r="A33" t="s">
        <v>220</v>
      </c>
      <c r="B33">
        <v>14.5</v>
      </c>
      <c r="C33">
        <v>2.9</v>
      </c>
      <c r="D33">
        <v>4.5999999999999996</v>
      </c>
      <c r="E33">
        <v>104.7</v>
      </c>
      <c r="F33" s="2"/>
      <c r="G33" s="5" t="str">
        <f t="shared" si="5"/>
        <v/>
      </c>
      <c r="H33" s="5" t="str">
        <f t="shared" si="6"/>
        <v/>
      </c>
      <c r="I33" s="5" t="str">
        <f t="shared" si="7"/>
        <v/>
      </c>
    </row>
    <row r="34" spans="1:9" x14ac:dyDescent="0.25">
      <c r="A34" t="s">
        <v>157</v>
      </c>
      <c r="B34">
        <v>16</v>
      </c>
      <c r="C34">
        <v>7</v>
      </c>
      <c r="D34">
        <v>10.6</v>
      </c>
      <c r="E34">
        <v>170.4</v>
      </c>
      <c r="F34" s="2"/>
      <c r="G34" s="5" t="str">
        <f t="shared" si="5"/>
        <v/>
      </c>
      <c r="H34" s="5" t="str">
        <f t="shared" si="6"/>
        <v/>
      </c>
      <c r="I34" s="5" t="str">
        <f t="shared" si="7"/>
        <v/>
      </c>
    </row>
    <row r="35" spans="1:9" x14ac:dyDescent="0.25">
      <c r="A35" t="s">
        <v>158</v>
      </c>
      <c r="B35">
        <v>16.100000000000001</v>
      </c>
      <c r="C35">
        <v>0</v>
      </c>
      <c r="D35">
        <v>1.1000000000000001</v>
      </c>
      <c r="E35">
        <v>140</v>
      </c>
      <c r="F35" s="2"/>
      <c r="G35" s="5" t="str">
        <f t="shared" si="5"/>
        <v/>
      </c>
      <c r="H35" s="5" t="str">
        <f t="shared" si="6"/>
        <v/>
      </c>
      <c r="I35" s="5" t="str">
        <f t="shared" si="7"/>
        <v/>
      </c>
    </row>
    <row r="36" spans="1:9" x14ac:dyDescent="0.25">
      <c r="A36" t="s">
        <v>159</v>
      </c>
      <c r="B36">
        <v>18.399999999999999</v>
      </c>
      <c r="C36">
        <v>16.399999999999999</v>
      </c>
      <c r="D36">
        <v>10.199999999999999</v>
      </c>
      <c r="E36">
        <v>71.3</v>
      </c>
      <c r="F36" s="2"/>
      <c r="G36" s="5" t="str">
        <f t="shared" si="5"/>
        <v/>
      </c>
      <c r="H36" s="5" t="str">
        <f t="shared" si="6"/>
        <v/>
      </c>
      <c r="I36" s="5" t="str">
        <f t="shared" si="7"/>
        <v/>
      </c>
    </row>
    <row r="37" spans="1:9" x14ac:dyDescent="0.25">
      <c r="A37" t="s">
        <v>160</v>
      </c>
      <c r="B37">
        <v>17.5</v>
      </c>
      <c r="C37">
        <v>1.8</v>
      </c>
      <c r="D37">
        <v>9</v>
      </c>
      <c r="E37">
        <v>85.7</v>
      </c>
      <c r="F37" s="2"/>
      <c r="G37" s="5" t="str">
        <f t="shared" si="5"/>
        <v/>
      </c>
      <c r="H37" s="5" t="str">
        <f t="shared" si="6"/>
        <v/>
      </c>
      <c r="I37" s="5" t="str">
        <f t="shared" si="7"/>
        <v/>
      </c>
    </row>
    <row r="38" spans="1:9" x14ac:dyDescent="0.25">
      <c r="A38" t="s">
        <v>161</v>
      </c>
      <c r="B38">
        <v>18.100000000000001</v>
      </c>
      <c r="C38">
        <v>6.6</v>
      </c>
      <c r="D38">
        <v>9.3000000000000007</v>
      </c>
      <c r="E38">
        <v>69.900000000000006</v>
      </c>
      <c r="F38" s="2"/>
      <c r="G38" s="5" t="str">
        <f t="shared" si="5"/>
        <v/>
      </c>
      <c r="H38" s="5" t="str">
        <f t="shared" si="6"/>
        <v/>
      </c>
      <c r="I38" s="5" t="str">
        <f t="shared" si="7"/>
        <v/>
      </c>
    </row>
    <row r="39" spans="1:9" x14ac:dyDescent="0.25">
      <c r="A39" t="s">
        <v>162</v>
      </c>
      <c r="B39">
        <v>16.5</v>
      </c>
      <c r="C39">
        <v>10.6</v>
      </c>
      <c r="D39">
        <v>17.7</v>
      </c>
      <c r="E39">
        <v>131.80000000000001</v>
      </c>
      <c r="F39" s="2"/>
      <c r="G39" s="5" t="str">
        <f t="shared" si="5"/>
        <v/>
      </c>
      <c r="H39" s="5" t="str">
        <f t="shared" si="6"/>
        <v/>
      </c>
      <c r="I39" s="5" t="str">
        <f t="shared" si="7"/>
        <v/>
      </c>
    </row>
    <row r="40" spans="1:9" x14ac:dyDescent="0.25">
      <c r="A40" t="s">
        <v>163</v>
      </c>
      <c r="B40">
        <v>15.5</v>
      </c>
      <c r="C40">
        <v>5.7</v>
      </c>
      <c r="D40">
        <v>11.2</v>
      </c>
      <c r="E40">
        <v>156.1</v>
      </c>
      <c r="F40" s="2"/>
      <c r="G40" s="5" t="str">
        <f t="shared" si="5"/>
        <v/>
      </c>
      <c r="H40" s="5" t="str">
        <f t="shared" si="6"/>
        <v/>
      </c>
      <c r="I40" s="5" t="str">
        <f t="shared" si="7"/>
        <v/>
      </c>
    </row>
    <row r="41" spans="1:9" x14ac:dyDescent="0.25">
      <c r="A41" t="s">
        <v>164</v>
      </c>
      <c r="B41">
        <v>15.7</v>
      </c>
      <c r="C41">
        <v>6.5</v>
      </c>
      <c r="D41">
        <v>10</v>
      </c>
      <c r="E41">
        <v>211.2</v>
      </c>
      <c r="F41" s="2"/>
      <c r="G41" s="5" t="str">
        <f t="shared" si="5"/>
        <v/>
      </c>
      <c r="H41" s="5" t="str">
        <f t="shared" si="6"/>
        <v/>
      </c>
      <c r="I41" s="5" t="str">
        <f t="shared" si="7"/>
        <v/>
      </c>
    </row>
    <row r="42" spans="1:9" x14ac:dyDescent="0.25">
      <c r="A42" t="s">
        <v>165</v>
      </c>
      <c r="B42">
        <v>15.8</v>
      </c>
      <c r="C42">
        <v>8.8000000000000007</v>
      </c>
      <c r="D42">
        <v>19.399999999999999</v>
      </c>
      <c r="E42">
        <v>58.6</v>
      </c>
      <c r="F42" s="2"/>
      <c r="G42" s="5" t="str">
        <f t="shared" si="5"/>
        <v/>
      </c>
      <c r="H42" s="5" t="str">
        <f t="shared" si="6"/>
        <v/>
      </c>
      <c r="I42" s="5" t="str">
        <f t="shared" si="7"/>
        <v/>
      </c>
    </row>
    <row r="43" spans="1:9" x14ac:dyDescent="0.25">
      <c r="A43" t="s">
        <v>166</v>
      </c>
      <c r="B43">
        <v>15.8</v>
      </c>
      <c r="C43">
        <v>5.3</v>
      </c>
      <c r="D43">
        <v>7.2</v>
      </c>
      <c r="E43">
        <v>98.6</v>
      </c>
      <c r="F43" s="2"/>
      <c r="G43" s="5" t="str">
        <f t="shared" si="5"/>
        <v/>
      </c>
      <c r="H43" s="5" t="str">
        <f t="shared" si="6"/>
        <v/>
      </c>
      <c r="I43" s="5" t="str">
        <f t="shared" si="7"/>
        <v/>
      </c>
    </row>
    <row r="44" spans="1:9" x14ac:dyDescent="0.25">
      <c r="A44" t="s">
        <v>167</v>
      </c>
      <c r="B44">
        <v>17.8</v>
      </c>
      <c r="C44">
        <v>0.6</v>
      </c>
      <c r="D44">
        <v>1.4</v>
      </c>
      <c r="E44">
        <v>122.8</v>
      </c>
      <c r="F44" s="2"/>
      <c r="G44" s="5" t="str">
        <f t="shared" si="5"/>
        <v/>
      </c>
      <c r="H44" s="5" t="str">
        <f t="shared" si="6"/>
        <v/>
      </c>
      <c r="I44" s="5" t="str">
        <f t="shared" si="7"/>
        <v/>
      </c>
    </row>
    <row r="45" spans="1:9" x14ac:dyDescent="0.25">
      <c r="A45" t="s">
        <v>168</v>
      </c>
      <c r="B45">
        <v>16</v>
      </c>
      <c r="C45">
        <v>7.6</v>
      </c>
      <c r="D45">
        <v>12.5</v>
      </c>
      <c r="E45">
        <v>115</v>
      </c>
      <c r="F45" s="2"/>
      <c r="G45" s="5" t="str">
        <f t="shared" si="5"/>
        <v/>
      </c>
      <c r="H45" s="5" t="str">
        <f t="shared" si="6"/>
        <v/>
      </c>
      <c r="I45" s="5" t="str">
        <f t="shared" si="7"/>
        <v/>
      </c>
    </row>
    <row r="46" spans="1:9" x14ac:dyDescent="0.25">
      <c r="A46" t="s">
        <v>169</v>
      </c>
      <c r="B46">
        <v>18</v>
      </c>
      <c r="C46">
        <v>21.7</v>
      </c>
      <c r="D46">
        <v>5.0999999999999996</v>
      </c>
      <c r="E46">
        <v>66</v>
      </c>
      <c r="F46" s="2"/>
      <c r="G46" s="5" t="str">
        <f t="shared" si="5"/>
        <v/>
      </c>
      <c r="H46" s="5" t="str">
        <f t="shared" si="6"/>
        <v/>
      </c>
      <c r="I46" s="5" t="str">
        <f t="shared" si="7"/>
        <v/>
      </c>
    </row>
    <row r="47" spans="1:9" x14ac:dyDescent="0.25">
      <c r="A47" t="s">
        <v>170</v>
      </c>
      <c r="B47">
        <v>17</v>
      </c>
      <c r="C47">
        <v>11</v>
      </c>
      <c r="D47">
        <v>26</v>
      </c>
      <c r="E47">
        <v>55.9</v>
      </c>
      <c r="F47" s="2"/>
      <c r="G47" s="5" t="str">
        <f t="shared" si="5"/>
        <v/>
      </c>
      <c r="H47" s="5" t="str">
        <f t="shared" si="6"/>
        <v/>
      </c>
      <c r="I47" s="5" t="str">
        <f t="shared" si="7"/>
        <v/>
      </c>
    </row>
    <row r="48" spans="1:9" x14ac:dyDescent="0.25">
      <c r="A48" t="s">
        <v>171</v>
      </c>
      <c r="B48">
        <v>16</v>
      </c>
      <c r="C48">
        <v>5.0999999999999996</v>
      </c>
      <c r="D48">
        <v>12.3</v>
      </c>
      <c r="E48">
        <v>132</v>
      </c>
      <c r="F48" s="2"/>
      <c r="G48" s="5" t="str">
        <f t="shared" si="5"/>
        <v/>
      </c>
      <c r="H48" s="5" t="str">
        <f t="shared" si="6"/>
        <v/>
      </c>
      <c r="I48" s="5" t="str">
        <f t="shared" si="7"/>
        <v/>
      </c>
    </row>
    <row r="49" spans="1:9" x14ac:dyDescent="0.25">
      <c r="A49" t="s">
        <v>172</v>
      </c>
      <c r="B49">
        <v>16</v>
      </c>
      <c r="C49">
        <v>8.1999999999999993</v>
      </c>
      <c r="D49">
        <v>15</v>
      </c>
      <c r="E49">
        <v>79.3</v>
      </c>
      <c r="F49" s="2"/>
      <c r="G49" s="5" t="str">
        <f t="shared" si="5"/>
        <v/>
      </c>
      <c r="H49" s="5" t="str">
        <f t="shared" si="6"/>
        <v/>
      </c>
      <c r="I49" s="5" t="str">
        <f t="shared" si="7"/>
        <v/>
      </c>
    </row>
    <row r="50" spans="1:9" x14ac:dyDescent="0.25">
      <c r="A50" t="s">
        <v>173</v>
      </c>
      <c r="B50">
        <v>18</v>
      </c>
      <c r="C50">
        <v>16.600000000000001</v>
      </c>
      <c r="D50">
        <v>7.4</v>
      </c>
      <c r="E50">
        <v>76.5</v>
      </c>
      <c r="F50" s="2"/>
      <c r="G50" s="5" t="str">
        <f t="shared" si="5"/>
        <v/>
      </c>
      <c r="H50" s="5" t="str">
        <f t="shared" si="6"/>
        <v/>
      </c>
      <c r="I50" s="5" t="str">
        <f t="shared" si="7"/>
        <v/>
      </c>
    </row>
    <row r="51" spans="1:9" x14ac:dyDescent="0.25">
      <c r="A51" t="s">
        <v>174</v>
      </c>
      <c r="B51">
        <v>17.899999999999999</v>
      </c>
      <c r="C51">
        <v>25.5</v>
      </c>
      <c r="D51">
        <v>17.399999999999999</v>
      </c>
      <c r="E51">
        <v>83.2</v>
      </c>
      <c r="F51" s="2"/>
      <c r="G51" s="5" t="str">
        <f t="shared" si="5"/>
        <v/>
      </c>
      <c r="H51" s="5" t="str">
        <f t="shared" si="6"/>
        <v/>
      </c>
      <c r="I51" s="5" t="str">
        <f t="shared" si="7"/>
        <v/>
      </c>
    </row>
    <row r="52" spans="1:9" x14ac:dyDescent="0.25">
      <c r="A52" t="s">
        <v>175</v>
      </c>
      <c r="B52">
        <v>15.3</v>
      </c>
      <c r="C52">
        <v>0</v>
      </c>
      <c r="D52">
        <v>0</v>
      </c>
      <c r="E52">
        <v>147</v>
      </c>
      <c r="F52" s="2"/>
      <c r="G52" s="5" t="str">
        <f t="shared" si="5"/>
        <v/>
      </c>
      <c r="H52" s="5" t="str">
        <f t="shared" si="6"/>
        <v/>
      </c>
      <c r="I52" s="5" t="str">
        <f t="shared" si="7"/>
        <v/>
      </c>
    </row>
    <row r="53" spans="1:9" x14ac:dyDescent="0.25">
      <c r="A53" t="s">
        <v>176</v>
      </c>
      <c r="B53">
        <v>14.9</v>
      </c>
      <c r="C53">
        <v>0</v>
      </c>
      <c r="D53">
        <v>0</v>
      </c>
      <c r="E53">
        <v>131.4</v>
      </c>
      <c r="F53" s="2"/>
      <c r="G53" s="5" t="str">
        <f t="shared" si="5"/>
        <v/>
      </c>
      <c r="H53" s="5" t="str">
        <f t="shared" si="6"/>
        <v/>
      </c>
      <c r="I53" s="5" t="str">
        <f t="shared" si="7"/>
        <v/>
      </c>
    </row>
    <row r="54" spans="1:9" x14ac:dyDescent="0.25">
      <c r="A54" t="s">
        <v>177</v>
      </c>
      <c r="B54">
        <v>15.1</v>
      </c>
      <c r="C54">
        <v>5.7</v>
      </c>
      <c r="D54">
        <v>15.9</v>
      </c>
      <c r="E54">
        <v>92.9</v>
      </c>
      <c r="F54" s="2"/>
      <c r="G54" s="5" t="str">
        <f t="shared" si="5"/>
        <v/>
      </c>
      <c r="H54" s="5" t="str">
        <f t="shared" si="6"/>
        <v/>
      </c>
      <c r="I54" s="5" t="str">
        <f t="shared" si="7"/>
        <v/>
      </c>
    </row>
    <row r="55" spans="1:9" x14ac:dyDescent="0.25">
      <c r="A55" t="s">
        <v>178</v>
      </c>
      <c r="B55">
        <v>15.1</v>
      </c>
      <c r="C55">
        <v>2.8</v>
      </c>
      <c r="D55">
        <v>5.8</v>
      </c>
      <c r="E55">
        <v>169.8</v>
      </c>
      <c r="F55" s="2"/>
      <c r="G55" s="5" t="str">
        <f t="shared" si="5"/>
        <v/>
      </c>
      <c r="H55" s="5" t="str">
        <f t="shared" si="6"/>
        <v/>
      </c>
      <c r="I55" s="5" t="str">
        <f t="shared" si="7"/>
        <v/>
      </c>
    </row>
    <row r="56" spans="1:9" x14ac:dyDescent="0.25">
      <c r="A56" t="s">
        <v>179</v>
      </c>
      <c r="B56">
        <v>15.3</v>
      </c>
      <c r="C56">
        <v>3.1</v>
      </c>
      <c r="D56">
        <v>7</v>
      </c>
      <c r="E56">
        <v>150.19999999999999</v>
      </c>
      <c r="F56" s="2"/>
      <c r="G56" s="5" t="str">
        <f t="shared" si="5"/>
        <v/>
      </c>
      <c r="H56" s="5" t="str">
        <f t="shared" si="6"/>
        <v/>
      </c>
      <c r="I56" s="5" t="str">
        <f t="shared" si="7"/>
        <v/>
      </c>
    </row>
    <row r="57" spans="1:9" x14ac:dyDescent="0.25">
      <c r="A57" t="s">
        <v>180</v>
      </c>
      <c r="B57">
        <v>15.8</v>
      </c>
      <c r="C57">
        <v>5.2</v>
      </c>
      <c r="D57">
        <v>13.3</v>
      </c>
      <c r="E57">
        <v>109.3</v>
      </c>
      <c r="F57" s="2"/>
      <c r="G57" s="5" t="str">
        <f t="shared" si="5"/>
        <v/>
      </c>
      <c r="H57" s="5" t="str">
        <f t="shared" si="6"/>
        <v/>
      </c>
      <c r="I57" s="5" t="str">
        <f t="shared" si="7"/>
        <v/>
      </c>
    </row>
    <row r="58" spans="1:9" x14ac:dyDescent="0.25">
      <c r="A58" t="s">
        <v>181</v>
      </c>
      <c r="B58">
        <v>14.9</v>
      </c>
      <c r="C58">
        <v>4.5</v>
      </c>
      <c r="D58">
        <v>8.1999999999999993</v>
      </c>
      <c r="E58">
        <v>117.1</v>
      </c>
      <c r="F58" s="2"/>
      <c r="G58" s="5" t="str">
        <f t="shared" si="5"/>
        <v/>
      </c>
      <c r="H58" s="5" t="str">
        <f t="shared" si="6"/>
        <v/>
      </c>
      <c r="I58" s="5" t="str">
        <f t="shared" si="7"/>
        <v/>
      </c>
    </row>
    <row r="59" spans="1:9" x14ac:dyDescent="0.25">
      <c r="A59" t="s">
        <v>225</v>
      </c>
      <c r="B59">
        <v>15.1</v>
      </c>
      <c r="C59">
        <v>3.2</v>
      </c>
      <c r="D59">
        <v>3.2</v>
      </c>
      <c r="E59">
        <v>141.80000000000001</v>
      </c>
      <c r="F59" s="2"/>
      <c r="G59" s="5" t="str">
        <f t="shared" si="5"/>
        <v/>
      </c>
      <c r="H59" s="5" t="str">
        <f t="shared" si="6"/>
        <v/>
      </c>
      <c r="I59" s="5" t="str">
        <f t="shared" si="7"/>
        <v/>
      </c>
    </row>
    <row r="60" spans="1:9" x14ac:dyDescent="0.25">
      <c r="A60" t="s">
        <v>182</v>
      </c>
      <c r="B60">
        <v>17</v>
      </c>
      <c r="C60">
        <v>8</v>
      </c>
      <c r="D60">
        <v>5</v>
      </c>
      <c r="E60">
        <v>150.30000000000001</v>
      </c>
      <c r="F60" s="2"/>
      <c r="G60" s="5" t="str">
        <f t="shared" si="5"/>
        <v/>
      </c>
      <c r="H60" s="5" t="str">
        <f t="shared" si="6"/>
        <v/>
      </c>
      <c r="I60" s="5" t="str">
        <f t="shared" si="7"/>
        <v/>
      </c>
    </row>
    <row r="61" spans="1:9" x14ac:dyDescent="0.25">
      <c r="A61" t="s">
        <v>183</v>
      </c>
      <c r="B61">
        <v>17.2</v>
      </c>
      <c r="C61">
        <v>1.8</v>
      </c>
      <c r="D61">
        <v>4.3</v>
      </c>
      <c r="E61">
        <v>162.9</v>
      </c>
      <c r="F61" s="2"/>
      <c r="G61" s="5" t="str">
        <f t="shared" si="5"/>
        <v/>
      </c>
      <c r="H61" s="5" t="str">
        <f t="shared" si="6"/>
        <v/>
      </c>
      <c r="I61" s="5" t="str">
        <f t="shared" si="7"/>
        <v/>
      </c>
    </row>
    <row r="62" spans="1:9" x14ac:dyDescent="0.25">
      <c r="A62" t="s">
        <v>184</v>
      </c>
      <c r="B62">
        <v>14.7</v>
      </c>
      <c r="C62">
        <v>12.3</v>
      </c>
      <c r="D62">
        <v>22.3</v>
      </c>
      <c r="E62">
        <v>40.6</v>
      </c>
      <c r="F62" s="2"/>
      <c r="G62" s="5" t="str">
        <f t="shared" si="5"/>
        <v/>
      </c>
      <c r="H62" s="5" t="str">
        <f t="shared" si="6"/>
        <v/>
      </c>
      <c r="I62" s="5" t="str">
        <f t="shared" si="7"/>
        <v/>
      </c>
    </row>
    <row r="63" spans="1:9" x14ac:dyDescent="0.25">
      <c r="A63" t="s">
        <v>185</v>
      </c>
      <c r="B63">
        <v>15.5</v>
      </c>
      <c r="C63">
        <v>7.2</v>
      </c>
      <c r="D63">
        <v>7.6</v>
      </c>
      <c r="E63">
        <v>79.8</v>
      </c>
      <c r="F63" s="2"/>
      <c r="G63" s="5" t="str">
        <f t="shared" si="5"/>
        <v/>
      </c>
      <c r="H63" s="5" t="str">
        <f t="shared" si="6"/>
        <v/>
      </c>
      <c r="I63" s="5" t="str">
        <f t="shared" si="7"/>
        <v/>
      </c>
    </row>
    <row r="64" spans="1:9" x14ac:dyDescent="0.25">
      <c r="A64" t="s">
        <v>186</v>
      </c>
      <c r="B64">
        <v>16.2</v>
      </c>
      <c r="C64">
        <v>7.8</v>
      </c>
      <c r="D64">
        <v>12.6</v>
      </c>
      <c r="E64">
        <v>118.2</v>
      </c>
      <c r="F64" s="2"/>
      <c r="G64" s="5" t="str">
        <f t="shared" si="5"/>
        <v/>
      </c>
      <c r="H64" s="5" t="str">
        <f t="shared" si="6"/>
        <v/>
      </c>
      <c r="I64" s="5" t="str">
        <f t="shared" si="7"/>
        <v/>
      </c>
    </row>
    <row r="65" spans="1:9" x14ac:dyDescent="0.25">
      <c r="A65" t="s">
        <v>187</v>
      </c>
      <c r="B65">
        <v>16</v>
      </c>
      <c r="C65">
        <v>8.1999999999999993</v>
      </c>
      <c r="D65">
        <v>15</v>
      </c>
      <c r="E65">
        <v>79.3</v>
      </c>
      <c r="F65" s="2"/>
      <c r="G65" s="5" t="str">
        <f t="shared" si="5"/>
        <v/>
      </c>
      <c r="H65" s="5" t="str">
        <f t="shared" si="6"/>
        <v/>
      </c>
      <c r="I65" s="5" t="str">
        <f t="shared" si="7"/>
        <v/>
      </c>
    </row>
    <row r="66" spans="1:9" x14ac:dyDescent="0.25">
      <c r="A66" t="s">
        <v>188</v>
      </c>
      <c r="B66">
        <v>16</v>
      </c>
      <c r="C66">
        <v>0</v>
      </c>
      <c r="D66">
        <v>1</v>
      </c>
      <c r="E66">
        <v>128.19999999999999</v>
      </c>
      <c r="F66" s="2"/>
      <c r="G66" s="5" t="str">
        <f t="shared" si="5"/>
        <v/>
      </c>
      <c r="H66" s="5" t="str">
        <f t="shared" si="6"/>
        <v/>
      </c>
      <c r="I66" s="5" t="str">
        <f t="shared" si="7"/>
        <v/>
      </c>
    </row>
    <row r="67" spans="1:9" x14ac:dyDescent="0.25">
      <c r="A67" t="s">
        <v>189</v>
      </c>
      <c r="B67">
        <v>16</v>
      </c>
      <c r="C67">
        <v>9</v>
      </c>
      <c r="D67">
        <v>5.0999999999999996</v>
      </c>
      <c r="E67">
        <v>90.2</v>
      </c>
      <c r="F67" s="2"/>
      <c r="G67" s="5" t="str">
        <f t="shared" si="5"/>
        <v/>
      </c>
      <c r="H67" s="5" t="str">
        <f t="shared" si="6"/>
        <v/>
      </c>
      <c r="I67" s="5" t="str">
        <f t="shared" si="7"/>
        <v/>
      </c>
    </row>
    <row r="68" spans="1:9" x14ac:dyDescent="0.25">
      <c r="A68" t="s">
        <v>190</v>
      </c>
      <c r="B68">
        <v>16</v>
      </c>
      <c r="C68">
        <v>5.7</v>
      </c>
      <c r="D68">
        <v>4.0999999999999996</v>
      </c>
      <c r="E68">
        <v>141.30000000000001</v>
      </c>
      <c r="F68" s="2"/>
      <c r="G68" s="5" t="str">
        <f t="shared" si="5"/>
        <v/>
      </c>
      <c r="H68" s="5" t="str">
        <f t="shared" si="6"/>
        <v/>
      </c>
      <c r="I68" s="5" t="str">
        <f t="shared" si="7"/>
        <v/>
      </c>
    </row>
    <row r="69" spans="1:9" x14ac:dyDescent="0.25">
      <c r="A69" t="s">
        <v>191</v>
      </c>
      <c r="B69">
        <v>15.4</v>
      </c>
      <c r="C69">
        <v>3.3</v>
      </c>
      <c r="D69">
        <v>12.3</v>
      </c>
      <c r="E69">
        <v>127.2</v>
      </c>
      <c r="F69" s="2"/>
      <c r="G69" s="5" t="str">
        <f t="shared" si="5"/>
        <v/>
      </c>
      <c r="H69" s="5" t="str">
        <f t="shared" si="6"/>
        <v/>
      </c>
      <c r="I69" s="5" t="str">
        <f t="shared" si="7"/>
        <v/>
      </c>
    </row>
    <row r="70" spans="1:9" x14ac:dyDescent="0.25">
      <c r="A70" t="s">
        <v>192</v>
      </c>
      <c r="B70">
        <v>15.3</v>
      </c>
      <c r="C70">
        <v>6.1</v>
      </c>
      <c r="D70">
        <v>4.0999999999999996</v>
      </c>
      <c r="E70">
        <v>125.8</v>
      </c>
      <c r="F70" s="2"/>
      <c r="G70" s="5" t="str">
        <f t="shared" si="5"/>
        <v/>
      </c>
      <c r="H70" s="5" t="str">
        <f t="shared" si="6"/>
        <v/>
      </c>
      <c r="I70" s="5" t="str">
        <f t="shared" si="7"/>
        <v/>
      </c>
    </row>
    <row r="71" spans="1:9" x14ac:dyDescent="0.25">
      <c r="A71" t="s">
        <v>193</v>
      </c>
      <c r="B71">
        <v>16.2</v>
      </c>
      <c r="C71">
        <v>3.8</v>
      </c>
      <c r="D71">
        <v>4.5</v>
      </c>
      <c r="E71">
        <v>340.7</v>
      </c>
      <c r="F71" s="2"/>
      <c r="G71" s="5" t="str">
        <f t="shared" si="5"/>
        <v/>
      </c>
      <c r="H71" s="5" t="str">
        <f t="shared" si="6"/>
        <v/>
      </c>
      <c r="I71" s="5" t="str">
        <f t="shared" si="7"/>
        <v/>
      </c>
    </row>
    <row r="72" spans="1:9" x14ac:dyDescent="0.25">
      <c r="A72" t="s">
        <v>194</v>
      </c>
      <c r="B72">
        <v>16</v>
      </c>
      <c r="C72">
        <v>7.6</v>
      </c>
      <c r="D72">
        <v>4.7</v>
      </c>
      <c r="E72">
        <v>107.3</v>
      </c>
      <c r="F72" s="2"/>
      <c r="G72" s="5" t="str">
        <f t="shared" si="5"/>
        <v/>
      </c>
      <c r="H72" s="5" t="str">
        <f t="shared" si="6"/>
        <v/>
      </c>
      <c r="I72" s="5" t="str">
        <f t="shared" si="7"/>
        <v/>
      </c>
    </row>
    <row r="73" spans="1:9" x14ac:dyDescent="0.25">
      <c r="A73" t="s">
        <v>195</v>
      </c>
      <c r="B73">
        <v>18</v>
      </c>
      <c r="C73">
        <v>12.3</v>
      </c>
      <c r="D73">
        <v>7.2</v>
      </c>
      <c r="E73">
        <v>96.6</v>
      </c>
      <c r="F73" s="2"/>
      <c r="G73" s="5" t="str">
        <f t="shared" si="5"/>
        <v/>
      </c>
      <c r="H73" s="5" t="str">
        <f t="shared" si="6"/>
        <v/>
      </c>
      <c r="I73" s="5" t="str">
        <f t="shared" si="7"/>
        <v/>
      </c>
    </row>
    <row r="74" spans="1:9" x14ac:dyDescent="0.25">
      <c r="A74" t="s">
        <v>196</v>
      </c>
      <c r="B74">
        <v>17</v>
      </c>
      <c r="C74">
        <v>7.3</v>
      </c>
      <c r="D74">
        <v>7.1</v>
      </c>
      <c r="E74">
        <v>64.400000000000006</v>
      </c>
      <c r="F74" s="2"/>
      <c r="G74" s="5" t="str">
        <f t="shared" ref="G74:G94" si="10">IF(F74&lt;&gt;"",F74/100*B74,"")</f>
        <v/>
      </c>
      <c r="H74" s="5" t="str">
        <f t="shared" ref="H74:H94" si="11">IF(F74&lt;&gt;"",F74/100*C74,"")</f>
        <v/>
      </c>
      <c r="I74" s="5" t="str">
        <f t="shared" ref="I74:I94" si="12">IF(F74&lt;&gt;"",F74/100*D74,"")</f>
        <v/>
      </c>
    </row>
    <row r="75" spans="1:9" x14ac:dyDescent="0.25">
      <c r="A75" t="s">
        <v>197</v>
      </c>
      <c r="B75">
        <v>16.8</v>
      </c>
      <c r="C75">
        <v>11.5</v>
      </c>
      <c r="D75">
        <v>10.199999999999999</v>
      </c>
      <c r="E75">
        <v>93</v>
      </c>
      <c r="F75" s="2"/>
      <c r="G75" s="5" t="str">
        <f t="shared" si="10"/>
        <v/>
      </c>
      <c r="H75" s="5" t="str">
        <f t="shared" si="11"/>
        <v/>
      </c>
      <c r="I75" s="5" t="str">
        <f t="shared" si="12"/>
        <v/>
      </c>
    </row>
    <row r="76" spans="1:9" x14ac:dyDescent="0.25">
      <c r="A76" t="s">
        <v>198</v>
      </c>
      <c r="B76">
        <v>17.399999999999999</v>
      </c>
      <c r="C76">
        <v>13.7</v>
      </c>
      <c r="D76">
        <v>11.3</v>
      </c>
      <c r="E76">
        <v>77.400000000000006</v>
      </c>
      <c r="F76" s="2"/>
      <c r="G76" s="5" t="str">
        <f t="shared" si="10"/>
        <v/>
      </c>
      <c r="H76" s="5" t="str">
        <f t="shared" si="11"/>
        <v/>
      </c>
      <c r="I76" s="5" t="str">
        <f t="shared" si="12"/>
        <v/>
      </c>
    </row>
    <row r="77" spans="1:9" x14ac:dyDescent="0.25">
      <c r="A77" t="s">
        <v>199</v>
      </c>
      <c r="B77">
        <v>16.600000000000001</v>
      </c>
      <c r="C77">
        <v>12.3</v>
      </c>
      <c r="D77">
        <v>5.5</v>
      </c>
      <c r="E77">
        <v>89.5</v>
      </c>
      <c r="F77" s="2"/>
      <c r="G77" s="5" t="str">
        <f t="shared" si="10"/>
        <v/>
      </c>
      <c r="H77" s="5" t="str">
        <f t="shared" si="11"/>
        <v/>
      </c>
      <c r="I77" s="5" t="str">
        <f t="shared" si="12"/>
        <v/>
      </c>
    </row>
    <row r="78" spans="1:9" x14ac:dyDescent="0.25">
      <c r="A78" t="s">
        <v>200</v>
      </c>
      <c r="B78">
        <v>17.8</v>
      </c>
      <c r="C78">
        <v>5.7</v>
      </c>
      <c r="D78">
        <v>14.3</v>
      </c>
      <c r="E78">
        <v>124.7</v>
      </c>
      <c r="F78" s="2"/>
      <c r="G78" s="5" t="str">
        <f t="shared" si="10"/>
        <v/>
      </c>
      <c r="H78" s="5" t="str">
        <f t="shared" si="11"/>
        <v/>
      </c>
      <c r="I78" s="5" t="str">
        <f t="shared" si="12"/>
        <v/>
      </c>
    </row>
    <row r="79" spans="1:9" x14ac:dyDescent="0.25">
      <c r="A79" t="s">
        <v>201</v>
      </c>
      <c r="B79">
        <v>15.8</v>
      </c>
      <c r="C79">
        <v>6.1</v>
      </c>
      <c r="D79">
        <v>16.399999999999999</v>
      </c>
      <c r="E79">
        <v>76.900000000000006</v>
      </c>
      <c r="F79" s="2"/>
      <c r="G79" s="5" t="str">
        <f t="shared" si="10"/>
        <v/>
      </c>
      <c r="H79" s="5" t="str">
        <f t="shared" si="11"/>
        <v/>
      </c>
      <c r="I79" s="5" t="str">
        <f t="shared" si="12"/>
        <v/>
      </c>
    </row>
    <row r="80" spans="1:9" x14ac:dyDescent="0.25">
      <c r="A80" t="s">
        <v>202</v>
      </c>
      <c r="B80">
        <v>16</v>
      </c>
      <c r="C80">
        <v>6.8</v>
      </c>
      <c r="D80">
        <v>17.399999999999999</v>
      </c>
      <c r="E80">
        <v>75.099999999999994</v>
      </c>
      <c r="F80" s="2"/>
      <c r="G80" s="5" t="str">
        <f t="shared" si="10"/>
        <v/>
      </c>
      <c r="H80" s="5" t="str">
        <f t="shared" si="11"/>
        <v/>
      </c>
      <c r="I80" s="5" t="str">
        <f t="shared" si="12"/>
        <v/>
      </c>
    </row>
    <row r="81" spans="1:9" x14ac:dyDescent="0.25">
      <c r="A81" t="s">
        <v>203</v>
      </c>
      <c r="B81">
        <v>15.3</v>
      </c>
      <c r="C81">
        <v>4.3</v>
      </c>
      <c r="D81">
        <v>7.6</v>
      </c>
      <c r="E81">
        <v>115.8</v>
      </c>
      <c r="F81" s="2"/>
      <c r="G81" s="5" t="str">
        <f t="shared" si="10"/>
        <v/>
      </c>
      <c r="H81" s="5" t="str">
        <f t="shared" si="11"/>
        <v/>
      </c>
      <c r="I81" s="5" t="str">
        <f t="shared" si="12"/>
        <v/>
      </c>
    </row>
    <row r="82" spans="1:9" x14ac:dyDescent="0.25">
      <c r="A82" t="s">
        <v>204</v>
      </c>
      <c r="B82">
        <v>15.5</v>
      </c>
      <c r="C82">
        <v>5.6</v>
      </c>
      <c r="D82">
        <v>5.7</v>
      </c>
      <c r="E82">
        <v>132.5</v>
      </c>
      <c r="F82" s="2"/>
      <c r="G82" s="5" t="str">
        <f t="shared" si="10"/>
        <v/>
      </c>
      <c r="H82" s="5" t="str">
        <f t="shared" si="11"/>
        <v/>
      </c>
      <c r="I82" s="5" t="str">
        <f t="shared" si="12"/>
        <v/>
      </c>
    </row>
    <row r="83" spans="1:9" x14ac:dyDescent="0.25">
      <c r="A83" t="s">
        <v>205</v>
      </c>
      <c r="B83">
        <v>20</v>
      </c>
      <c r="C83">
        <v>18</v>
      </c>
      <c r="D83">
        <v>4.0999999999999996</v>
      </c>
      <c r="E83">
        <v>85.2</v>
      </c>
      <c r="F83" s="2"/>
      <c r="G83" s="5" t="str">
        <f t="shared" si="10"/>
        <v/>
      </c>
      <c r="H83" s="5" t="str">
        <f t="shared" si="11"/>
        <v/>
      </c>
      <c r="I83" s="5" t="str">
        <f t="shared" si="12"/>
        <v/>
      </c>
    </row>
    <row r="84" spans="1:9" x14ac:dyDescent="0.25">
      <c r="A84" t="s">
        <v>206</v>
      </c>
      <c r="B84">
        <v>15.3</v>
      </c>
      <c r="C84">
        <v>4.5</v>
      </c>
      <c r="D84">
        <v>9.1999999999999993</v>
      </c>
      <c r="E84">
        <v>132</v>
      </c>
      <c r="F84" s="2"/>
      <c r="G84" s="5" t="str">
        <f t="shared" si="10"/>
        <v/>
      </c>
      <c r="H84" s="5" t="str">
        <f t="shared" si="11"/>
        <v/>
      </c>
      <c r="I84" s="5" t="str">
        <f t="shared" si="12"/>
        <v/>
      </c>
    </row>
    <row r="85" spans="1:9" x14ac:dyDescent="0.25">
      <c r="A85" t="s">
        <v>207</v>
      </c>
      <c r="B85">
        <v>15.6</v>
      </c>
      <c r="C85">
        <v>6.3</v>
      </c>
      <c r="D85">
        <v>7.7</v>
      </c>
      <c r="E85">
        <v>155.1</v>
      </c>
      <c r="F85" s="2"/>
      <c r="G85" s="5" t="str">
        <f t="shared" si="10"/>
        <v/>
      </c>
      <c r="H85" s="5" t="str">
        <f t="shared" si="11"/>
        <v/>
      </c>
      <c r="I85" s="5" t="str">
        <f t="shared" si="12"/>
        <v/>
      </c>
    </row>
    <row r="86" spans="1:9" x14ac:dyDescent="0.25">
      <c r="A86" t="s">
        <v>208</v>
      </c>
      <c r="B86">
        <v>15.6</v>
      </c>
      <c r="C86">
        <v>6.3</v>
      </c>
      <c r="D86">
        <v>11.6</v>
      </c>
      <c r="E86">
        <v>98.2</v>
      </c>
      <c r="F86" s="2"/>
      <c r="G86" s="5" t="str">
        <f t="shared" si="10"/>
        <v/>
      </c>
      <c r="H86" s="5" t="str">
        <f t="shared" si="11"/>
        <v/>
      </c>
      <c r="I86" s="5" t="str">
        <f t="shared" si="12"/>
        <v/>
      </c>
    </row>
    <row r="87" spans="1:9" x14ac:dyDescent="0.25">
      <c r="A87" t="s">
        <v>209</v>
      </c>
      <c r="B87">
        <v>15.6</v>
      </c>
      <c r="C87">
        <v>5.6</v>
      </c>
      <c r="D87">
        <v>9.8000000000000007</v>
      </c>
      <c r="E87">
        <v>137.1</v>
      </c>
      <c r="F87" s="2"/>
      <c r="G87" s="5" t="str">
        <f t="shared" si="10"/>
        <v/>
      </c>
      <c r="H87" s="5" t="str">
        <f t="shared" si="11"/>
        <v/>
      </c>
      <c r="I87" s="5" t="str">
        <f t="shared" si="12"/>
        <v/>
      </c>
    </row>
    <row r="88" spans="1:9" x14ac:dyDescent="0.25">
      <c r="A88" t="s">
        <v>210</v>
      </c>
      <c r="B88">
        <v>17.399999999999999</v>
      </c>
      <c r="C88">
        <v>5.3</v>
      </c>
      <c r="D88">
        <v>11.5</v>
      </c>
      <c r="E88">
        <v>143.19999999999999</v>
      </c>
      <c r="F88" s="2"/>
      <c r="G88" s="5" t="str">
        <f t="shared" si="10"/>
        <v/>
      </c>
      <c r="H88" s="5" t="str">
        <f t="shared" si="11"/>
        <v/>
      </c>
      <c r="I88" s="5" t="str">
        <f t="shared" si="12"/>
        <v/>
      </c>
    </row>
    <row r="89" spans="1:9" x14ac:dyDescent="0.25">
      <c r="A89" t="s">
        <v>211</v>
      </c>
      <c r="B89">
        <v>15</v>
      </c>
      <c r="C89">
        <v>3.7</v>
      </c>
      <c r="D89">
        <v>7.6</v>
      </c>
      <c r="E89">
        <v>134</v>
      </c>
      <c r="F89" s="2"/>
      <c r="G89" s="5" t="str">
        <f t="shared" si="10"/>
        <v/>
      </c>
      <c r="H89" s="5" t="str">
        <f t="shared" si="11"/>
        <v/>
      </c>
      <c r="I89" s="5" t="str">
        <f t="shared" si="12"/>
        <v/>
      </c>
    </row>
    <row r="90" spans="1:9" x14ac:dyDescent="0.25">
      <c r="A90" t="s">
        <v>212</v>
      </c>
      <c r="B90">
        <v>18</v>
      </c>
      <c r="C90">
        <v>18</v>
      </c>
      <c r="D90">
        <v>9.9</v>
      </c>
      <c r="E90">
        <v>95.3</v>
      </c>
      <c r="F90" s="2"/>
      <c r="G90" s="5" t="str">
        <f t="shared" si="10"/>
        <v/>
      </c>
      <c r="H90" s="5" t="str">
        <f t="shared" si="11"/>
        <v/>
      </c>
      <c r="I90" s="5" t="str">
        <f t="shared" si="12"/>
        <v/>
      </c>
    </row>
    <row r="91" spans="1:9" x14ac:dyDescent="0.25">
      <c r="A91" t="s">
        <v>213</v>
      </c>
      <c r="B91">
        <v>16.8</v>
      </c>
      <c r="C91">
        <v>5.7</v>
      </c>
      <c r="D91">
        <v>8</v>
      </c>
      <c r="E91">
        <v>81.900000000000006</v>
      </c>
      <c r="F91" s="2"/>
      <c r="G91" s="5" t="str">
        <f t="shared" si="10"/>
        <v/>
      </c>
      <c r="H91" s="5" t="str">
        <f t="shared" si="11"/>
        <v/>
      </c>
      <c r="I91" s="5" t="str">
        <f t="shared" si="12"/>
        <v/>
      </c>
    </row>
    <row r="92" spans="1:9" x14ac:dyDescent="0.25">
      <c r="A92" t="s">
        <v>214</v>
      </c>
      <c r="B92">
        <v>17.8</v>
      </c>
      <c r="C92">
        <v>8.1999999999999993</v>
      </c>
      <c r="D92">
        <v>12.9</v>
      </c>
      <c r="E92">
        <v>97.4</v>
      </c>
      <c r="F92" s="2"/>
      <c r="G92" s="5" t="str">
        <f t="shared" si="10"/>
        <v/>
      </c>
      <c r="H92" s="5" t="str">
        <f t="shared" si="11"/>
        <v/>
      </c>
      <c r="I92" s="5" t="str">
        <f t="shared" si="12"/>
        <v/>
      </c>
    </row>
    <row r="93" spans="1:9" x14ac:dyDescent="0.25">
      <c r="A93" t="s">
        <v>215</v>
      </c>
      <c r="B93">
        <v>18</v>
      </c>
      <c r="C93">
        <v>1.4</v>
      </c>
      <c r="D93">
        <v>2</v>
      </c>
      <c r="E93">
        <v>106.6</v>
      </c>
      <c r="F93" s="2"/>
      <c r="G93" s="5" t="str">
        <f t="shared" si="10"/>
        <v/>
      </c>
      <c r="H93" s="5" t="str">
        <f t="shared" si="11"/>
        <v/>
      </c>
      <c r="I93" s="5" t="str">
        <f t="shared" si="12"/>
        <v/>
      </c>
    </row>
    <row r="94" spans="1:9" x14ac:dyDescent="0.25">
      <c r="A94" t="s">
        <v>216</v>
      </c>
      <c r="B94">
        <v>17.600000000000001</v>
      </c>
      <c r="C94">
        <v>1</v>
      </c>
      <c r="D94">
        <v>3.1</v>
      </c>
      <c r="E94">
        <v>123.9</v>
      </c>
      <c r="F94" s="2"/>
      <c r="G94" s="5" t="str">
        <f t="shared" si="10"/>
        <v/>
      </c>
      <c r="H94" s="5" t="str">
        <f t="shared" si="11"/>
        <v/>
      </c>
      <c r="I94" s="5" t="str">
        <f t="shared" si="12"/>
        <v/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" sqref="C1"/>
    </sheetView>
  </sheetViews>
  <sheetFormatPr defaultRowHeight="15" x14ac:dyDescent="0.25"/>
  <cols>
    <col min="1" max="1" width="11.5703125" customWidth="1"/>
  </cols>
  <sheetData>
    <row r="1" spans="1:11" x14ac:dyDescent="0.25">
      <c r="C1" s="14" t="s">
        <v>717</v>
      </c>
    </row>
    <row r="3" spans="1:11" x14ac:dyDescent="0.25">
      <c r="A3" t="s">
        <v>270</v>
      </c>
      <c r="B3" s="2">
        <v>15</v>
      </c>
      <c r="C3" t="s">
        <v>248</v>
      </c>
      <c r="D3">
        <f>B3/1000</f>
        <v>1.4999999999999999E-2</v>
      </c>
      <c r="E3" t="s">
        <v>3</v>
      </c>
      <c r="F3" t="s">
        <v>271</v>
      </c>
      <c r="J3" t="s">
        <v>272</v>
      </c>
    </row>
    <row r="4" spans="1:11" x14ac:dyDescent="0.25">
      <c r="A4" t="s">
        <v>273</v>
      </c>
      <c r="B4" s="2">
        <v>10</v>
      </c>
      <c r="C4" t="s">
        <v>279</v>
      </c>
      <c r="D4">
        <f>B4/1000000</f>
        <v>1.0000000000000001E-5</v>
      </c>
      <c r="E4" t="s">
        <v>3</v>
      </c>
      <c r="G4" t="s">
        <v>274</v>
      </c>
      <c r="H4" t="s">
        <v>275</v>
      </c>
      <c r="J4" t="s">
        <v>274</v>
      </c>
      <c r="K4" t="s">
        <v>275</v>
      </c>
    </row>
    <row r="5" spans="1:11" x14ac:dyDescent="0.25">
      <c r="A5" t="s">
        <v>276</v>
      </c>
      <c r="B5" s="2">
        <v>1</v>
      </c>
      <c r="C5" t="s">
        <v>25</v>
      </c>
      <c r="D5">
        <f>B5*1000</f>
        <v>1000</v>
      </c>
      <c r="E5" t="s">
        <v>26</v>
      </c>
      <c r="F5" t="s">
        <v>277</v>
      </c>
      <c r="G5" s="16">
        <f>1.3*Length^4 * Density*Gravity/(Thickness^2*Deflection)/1000000000</f>
        <v>1.2912412499999997</v>
      </c>
      <c r="H5" s="4">
        <f>G5*1000</f>
        <v>1291.2412499999996</v>
      </c>
      <c r="J5" s="16">
        <f>Modulus/8</f>
        <v>0.16140515624999996</v>
      </c>
      <c r="K5" s="4">
        <f>H5/8</f>
        <v>161.40515624999995</v>
      </c>
    </row>
    <row r="6" spans="1:11" x14ac:dyDescent="0.25">
      <c r="G6" s="16"/>
      <c r="H6" s="4"/>
      <c r="J6" s="16"/>
      <c r="K6" s="4"/>
    </row>
    <row r="7" spans="1:11" x14ac:dyDescent="0.25">
      <c r="A7" t="s">
        <v>278</v>
      </c>
      <c r="B7" s="2">
        <v>5</v>
      </c>
      <c r="C7" t="s">
        <v>248</v>
      </c>
      <c r="D7">
        <f>B7/1000</f>
        <v>5.0000000000000001E-3</v>
      </c>
      <c r="E7" t="s">
        <v>3</v>
      </c>
    </row>
    <row r="9" spans="1:11" x14ac:dyDescent="0.25">
      <c r="C9" s="10" t="s">
        <v>262</v>
      </c>
      <c r="D9">
        <v>9.81</v>
      </c>
      <c r="E9" t="s">
        <v>261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C1" sqref="C1"/>
    </sheetView>
  </sheetViews>
  <sheetFormatPr defaultRowHeight="15" x14ac:dyDescent="0.25"/>
  <cols>
    <col min="1" max="1" width="22.7109375" bestFit="1" customWidth="1"/>
  </cols>
  <sheetData>
    <row r="1" spans="1:14" x14ac:dyDescent="0.25">
      <c r="C1" s="14" t="s">
        <v>291</v>
      </c>
    </row>
    <row r="2" spans="1:14" x14ac:dyDescent="0.25">
      <c r="A2" t="s">
        <v>292</v>
      </c>
      <c r="G2" t="s">
        <v>299</v>
      </c>
      <c r="N2" t="s">
        <v>297</v>
      </c>
    </row>
    <row r="3" spans="1:14" x14ac:dyDescent="0.25">
      <c r="A3" t="s">
        <v>293</v>
      </c>
    </row>
    <row r="5" spans="1:14" x14ac:dyDescent="0.25">
      <c r="A5" t="s">
        <v>287</v>
      </c>
      <c r="B5" s="2">
        <v>411</v>
      </c>
      <c r="C5" t="s">
        <v>1</v>
      </c>
    </row>
    <row r="6" spans="1:14" x14ac:dyDescent="0.25">
      <c r="A6" t="s">
        <v>288</v>
      </c>
      <c r="B6" s="2">
        <v>742</v>
      </c>
      <c r="C6" t="s">
        <v>1</v>
      </c>
    </row>
    <row r="7" spans="1:14" x14ac:dyDescent="0.25">
      <c r="A7" t="s">
        <v>289</v>
      </c>
      <c r="B7" s="2">
        <v>1.5</v>
      </c>
    </row>
    <row r="8" spans="1:14" x14ac:dyDescent="0.25">
      <c r="A8" t="s">
        <v>290</v>
      </c>
      <c r="B8" s="2">
        <v>4</v>
      </c>
    </row>
    <row r="10" spans="1:14" x14ac:dyDescent="0.25">
      <c r="A10" t="s">
        <v>294</v>
      </c>
      <c r="B10" s="4">
        <f>Number_of_peaks*Lower_wavelength*Higher_wavelength/(2*(Higher_wavelength-Lower_wavelength))/1000</f>
        <v>1.8426706948640483</v>
      </c>
      <c r="C10" t="s">
        <v>295</v>
      </c>
    </row>
    <row r="11" spans="1:14" x14ac:dyDescent="0.25">
      <c r="A11" t="s">
        <v>296</v>
      </c>
      <c r="B11" s="4">
        <f>Optical_thickness_μm/Approx_RI</f>
        <v>1.2284471299093656</v>
      </c>
      <c r="C11" t="s">
        <v>295</v>
      </c>
    </row>
    <row r="26" spans="8:8" x14ac:dyDescent="0.25">
      <c r="H26" t="s">
        <v>298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workbookViewId="0">
      <selection activeCell="G28" sqref="G28"/>
    </sheetView>
  </sheetViews>
  <sheetFormatPr defaultRowHeight="15" x14ac:dyDescent="0.25"/>
  <sheetData>
    <row r="1" spans="2:7" x14ac:dyDescent="0.25">
      <c r="C1" s="14" t="s">
        <v>300</v>
      </c>
    </row>
    <row r="2" spans="2:7" x14ac:dyDescent="0.25">
      <c r="B2" t="s">
        <v>301</v>
      </c>
      <c r="C2" s="2">
        <v>3</v>
      </c>
      <c r="D2" t="s">
        <v>302</v>
      </c>
      <c r="F2" t="s">
        <v>303</v>
      </c>
      <c r="G2" t="s">
        <v>304</v>
      </c>
    </row>
    <row r="3" spans="2:7" x14ac:dyDescent="0.25">
      <c r="B3" t="s">
        <v>305</v>
      </c>
      <c r="C3" s="2">
        <v>0.4</v>
      </c>
      <c r="D3" t="s">
        <v>306</v>
      </c>
      <c r="F3" s="2">
        <v>12</v>
      </c>
      <c r="G3" s="2">
        <v>6</v>
      </c>
    </row>
    <row r="4" spans="2:7" x14ac:dyDescent="0.25">
      <c r="C4" t="s">
        <v>307</v>
      </c>
      <c r="D4" t="s">
        <v>308</v>
      </c>
      <c r="E4" t="s">
        <v>309</v>
      </c>
    </row>
    <row r="5" spans="2:7" x14ac:dyDescent="0.25">
      <c r="B5" t="s">
        <v>310</v>
      </c>
      <c r="C5" t="s">
        <v>311</v>
      </c>
      <c r="D5" s="17" t="s">
        <v>312</v>
      </c>
      <c r="E5" t="s">
        <v>313</v>
      </c>
    </row>
    <row r="6" spans="2:7" x14ac:dyDescent="0.25">
      <c r="B6">
        <v>1</v>
      </c>
      <c r="C6">
        <f>(PotRep*Well/PotAtt)*(PotAtt/PotRep*(B6/VdWmin)^-PotRep)</f>
        <v>212576.40000000008</v>
      </c>
      <c r="D6">
        <f t="shared" ref="D6:D37" si="0">-(PotRep*Well/PotAtt)*((B6/VdWmin)^-6)</f>
        <v>-583.20000000000016</v>
      </c>
      <c r="E6">
        <f>C6+D6</f>
        <v>211993.20000000007</v>
      </c>
    </row>
    <row r="7" spans="2:7" x14ac:dyDescent="0.25">
      <c r="B7">
        <f>B6+0.2</f>
        <v>1.2</v>
      </c>
      <c r="C7">
        <f t="shared" ref="C7:C38" si="1">(12*Well/6)*(6/12*(B7/VdWmin)^-12)</f>
        <v>23841.857910156279</v>
      </c>
      <c r="D7">
        <f t="shared" si="0"/>
        <v>-195.31250000000014</v>
      </c>
      <c r="E7">
        <f t="shared" ref="E7:E56" si="2">C7+D7</f>
        <v>23646.545410156279</v>
      </c>
    </row>
    <row r="8" spans="2:7" x14ac:dyDescent="0.25">
      <c r="B8">
        <f t="shared" ref="B8:B56" si="3">B7+0.2</f>
        <v>1.4</v>
      </c>
      <c r="C8">
        <f t="shared" si="1"/>
        <v>3749.545429019096</v>
      </c>
      <c r="D8">
        <f t="shared" si="0"/>
        <v>-77.454971992962172</v>
      </c>
      <c r="E8">
        <f t="shared" si="2"/>
        <v>3672.0904570261337</v>
      </c>
    </row>
    <row r="9" spans="2:7" x14ac:dyDescent="0.25">
      <c r="B9">
        <f t="shared" si="3"/>
        <v>1.5999999999999999</v>
      </c>
      <c r="C9">
        <f t="shared" si="1"/>
        <v>755.22308407016703</v>
      </c>
      <c r="D9">
        <f t="shared" si="0"/>
        <v>-34.76142883300782</v>
      </c>
      <c r="E9">
        <f t="shared" si="2"/>
        <v>720.46165523715922</v>
      </c>
    </row>
    <row r="10" spans="2:7" x14ac:dyDescent="0.25">
      <c r="B10">
        <f t="shared" si="3"/>
        <v>1.7999999999999998</v>
      </c>
      <c r="C10">
        <f t="shared" si="1"/>
        <v>183.75746319911343</v>
      </c>
      <c r="D10">
        <f t="shared" si="0"/>
        <v>-17.14677640603567</v>
      </c>
      <c r="E10">
        <f t="shared" si="2"/>
        <v>166.61068679307778</v>
      </c>
    </row>
    <row r="11" spans="2:7" x14ac:dyDescent="0.25">
      <c r="B11">
        <f t="shared" si="3"/>
        <v>1.9999999999999998</v>
      </c>
      <c r="C11">
        <f t="shared" si="1"/>
        <v>51.89853515625002</v>
      </c>
      <c r="D11">
        <f t="shared" si="0"/>
        <v>-9.1125000000000025</v>
      </c>
      <c r="E11">
        <f t="shared" si="2"/>
        <v>42.786035156250016</v>
      </c>
    </row>
    <row r="12" spans="2:7" x14ac:dyDescent="0.25">
      <c r="B12">
        <f t="shared" si="3"/>
        <v>2.1999999999999997</v>
      </c>
      <c r="C12">
        <f t="shared" si="1"/>
        <v>16.536472694805664</v>
      </c>
      <c r="D12">
        <f t="shared" si="0"/>
        <v>-5.1437686876150508</v>
      </c>
      <c r="E12">
        <f t="shared" si="2"/>
        <v>11.392704007190613</v>
      </c>
    </row>
    <row r="13" spans="2:7" x14ac:dyDescent="0.25">
      <c r="B13">
        <f t="shared" si="3"/>
        <v>2.4</v>
      </c>
      <c r="C13">
        <f t="shared" si="1"/>
        <v>5.8207660913467478</v>
      </c>
      <c r="D13">
        <f t="shared" si="0"/>
        <v>-3.0517578125000022</v>
      </c>
      <c r="E13">
        <f t="shared" si="2"/>
        <v>2.7690082788467456</v>
      </c>
    </row>
    <row r="14" spans="2:7" x14ac:dyDescent="0.25">
      <c r="B14">
        <f t="shared" si="3"/>
        <v>2.6</v>
      </c>
      <c r="C14">
        <f t="shared" si="1"/>
        <v>2.2275880134960788</v>
      </c>
      <c r="D14">
        <f t="shared" si="0"/>
        <v>-1.8878932230382433</v>
      </c>
      <c r="E14">
        <f t="shared" si="2"/>
        <v>0.33969479045783557</v>
      </c>
    </row>
    <row r="15" spans="2:7" x14ac:dyDescent="0.25">
      <c r="B15">
        <f t="shared" si="3"/>
        <v>2.8000000000000003</v>
      </c>
      <c r="C15">
        <f t="shared" si="1"/>
        <v>0.91541636450661257</v>
      </c>
      <c r="D15">
        <f t="shared" si="0"/>
        <v>-1.2102339373900322</v>
      </c>
      <c r="E15">
        <f t="shared" si="2"/>
        <v>-0.29481757288341959</v>
      </c>
    </row>
    <row r="16" spans="2:7" x14ac:dyDescent="0.25">
      <c r="B16">
        <f t="shared" si="3"/>
        <v>3.0000000000000004</v>
      </c>
      <c r="C16">
        <f t="shared" si="1"/>
        <v>0.39999999999999902</v>
      </c>
      <c r="D16">
        <f t="shared" si="0"/>
        <v>-0.79999999999999905</v>
      </c>
      <c r="E16">
        <f t="shared" si="2"/>
        <v>-0.4</v>
      </c>
    </row>
    <row r="17" spans="2:5" x14ac:dyDescent="0.25">
      <c r="B17">
        <f t="shared" si="3"/>
        <v>3.2000000000000006</v>
      </c>
      <c r="C17">
        <f t="shared" si="1"/>
        <v>0.18438063575931771</v>
      </c>
      <c r="D17">
        <f t="shared" si="0"/>
        <v>-0.54314732551574652</v>
      </c>
      <c r="E17">
        <f t="shared" si="2"/>
        <v>-0.35876668975642878</v>
      </c>
    </row>
    <row r="18" spans="2:5" x14ac:dyDescent="0.25">
      <c r="B18">
        <f t="shared" si="3"/>
        <v>3.4000000000000008</v>
      </c>
      <c r="C18">
        <f t="shared" si="1"/>
        <v>8.9077504839183391E-2</v>
      </c>
      <c r="D18">
        <f t="shared" si="0"/>
        <v>-0.37752351945632934</v>
      </c>
      <c r="E18">
        <f t="shared" si="2"/>
        <v>-0.28844601461714592</v>
      </c>
    </row>
    <row r="19" spans="2:5" x14ac:dyDescent="0.25">
      <c r="B19">
        <f t="shared" si="3"/>
        <v>3.600000000000001</v>
      </c>
      <c r="C19">
        <f t="shared" si="1"/>
        <v>4.4862661913845851E-2</v>
      </c>
      <c r="D19">
        <f t="shared" si="0"/>
        <v>-0.26791838134430673</v>
      </c>
      <c r="E19">
        <f t="shared" si="2"/>
        <v>-0.22305571943046087</v>
      </c>
    </row>
    <row r="20" spans="2:5" x14ac:dyDescent="0.25">
      <c r="B20">
        <f t="shared" si="3"/>
        <v>3.8000000000000012</v>
      </c>
      <c r="C20">
        <f t="shared" si="1"/>
        <v>2.3448328436762533E-2</v>
      </c>
      <c r="D20">
        <f t="shared" si="0"/>
        <v>-0.19369389639020654</v>
      </c>
      <c r="E20">
        <f t="shared" si="2"/>
        <v>-0.170245567953444</v>
      </c>
    </row>
    <row r="21" spans="2:5" x14ac:dyDescent="0.25">
      <c r="B21">
        <f t="shared" si="3"/>
        <v>4.0000000000000009</v>
      </c>
      <c r="C21">
        <f t="shared" si="1"/>
        <v>1.2670540809631311E-2</v>
      </c>
      <c r="D21">
        <f t="shared" si="0"/>
        <v>-0.14238281249999979</v>
      </c>
      <c r="E21">
        <f t="shared" si="2"/>
        <v>-0.12971227169036847</v>
      </c>
    </row>
    <row r="22" spans="2:5" x14ac:dyDescent="0.25">
      <c r="B22">
        <f t="shared" si="3"/>
        <v>4.2000000000000011</v>
      </c>
      <c r="C22">
        <f t="shared" si="1"/>
        <v>7.055431231348502E-3</v>
      </c>
      <c r="D22">
        <f t="shared" si="0"/>
        <v>-0.10624824690392594</v>
      </c>
      <c r="E22">
        <f t="shared" si="2"/>
        <v>-9.9192815672577442E-2</v>
      </c>
    </row>
    <row r="23" spans="2:5" x14ac:dyDescent="0.25">
      <c r="B23">
        <f t="shared" si="3"/>
        <v>4.4000000000000012</v>
      </c>
      <c r="C23">
        <f t="shared" si="1"/>
        <v>4.0372247790052725E-3</v>
      </c>
      <c r="D23">
        <f t="shared" si="0"/>
        <v>-8.0371385743985002E-2</v>
      </c>
      <c r="E23">
        <f t="shared" si="2"/>
        <v>-7.6334160964979733E-2</v>
      </c>
    </row>
    <row r="24" spans="2:5" x14ac:dyDescent="0.25">
      <c r="B24">
        <f t="shared" si="3"/>
        <v>4.6000000000000014</v>
      </c>
      <c r="C24">
        <f t="shared" si="1"/>
        <v>2.3682146740520364E-3</v>
      </c>
      <c r="D24">
        <f t="shared" si="0"/>
        <v>-6.1556019027250775E-2</v>
      </c>
      <c r="E24">
        <f t="shared" si="2"/>
        <v>-5.9187804353198738E-2</v>
      </c>
    </row>
    <row r="25" spans="2:5" x14ac:dyDescent="0.25">
      <c r="B25">
        <f t="shared" si="3"/>
        <v>4.8000000000000016</v>
      </c>
      <c r="C25">
        <f t="shared" si="1"/>
        <v>1.4210854715201945E-3</v>
      </c>
      <c r="D25">
        <f t="shared" si="0"/>
        <v>-4.768371582031241E-2</v>
      </c>
      <c r="E25">
        <f t="shared" si="2"/>
        <v>-4.6262630348792216E-2</v>
      </c>
    </row>
    <row r="26" spans="2:5" x14ac:dyDescent="0.25">
      <c r="B26">
        <f t="shared" si="3"/>
        <v>5.0000000000000018</v>
      </c>
      <c r="C26">
        <f t="shared" si="1"/>
        <v>8.7071293439999699E-4</v>
      </c>
      <c r="D26">
        <f t="shared" si="0"/>
        <v>-3.7324799999999943E-2</v>
      </c>
      <c r="E26">
        <f t="shared" si="2"/>
        <v>-3.6454087065599945E-2</v>
      </c>
    </row>
    <row r="27" spans="2:5" x14ac:dyDescent="0.25">
      <c r="B27">
        <f t="shared" si="3"/>
        <v>5.200000000000002</v>
      </c>
      <c r="C27">
        <f t="shared" si="1"/>
        <v>5.4384472985743863E-4</v>
      </c>
      <c r="D27">
        <f t="shared" si="0"/>
        <v>-2.9498331609972485E-2</v>
      </c>
      <c r="E27">
        <f t="shared" si="2"/>
        <v>-2.8954486880115045E-2</v>
      </c>
    </row>
    <row r="28" spans="2:5" x14ac:dyDescent="0.25">
      <c r="B28">
        <f t="shared" si="3"/>
        <v>5.4000000000000021</v>
      </c>
      <c r="C28">
        <f t="shared" si="1"/>
        <v>3.4577208608126304E-4</v>
      </c>
      <c r="D28">
        <f t="shared" si="0"/>
        <v>-2.3520955289486459E-2</v>
      </c>
      <c r="E28">
        <f t="shared" si="2"/>
        <v>-2.3175183203405197E-2</v>
      </c>
    </row>
    <row r="29" spans="2:5" x14ac:dyDescent="0.25">
      <c r="B29">
        <f t="shared" si="3"/>
        <v>5.6000000000000023</v>
      </c>
      <c r="C29">
        <f t="shared" si="1"/>
        <v>2.2349032336587169E-4</v>
      </c>
      <c r="D29">
        <f t="shared" si="0"/>
        <v>-1.8909905271719232E-2</v>
      </c>
      <c r="E29">
        <f t="shared" si="2"/>
        <v>-1.868641494835336E-2</v>
      </c>
    </row>
    <row r="30" spans="2:5" x14ac:dyDescent="0.25">
      <c r="B30">
        <f t="shared" si="3"/>
        <v>5.8000000000000025</v>
      </c>
      <c r="C30">
        <f t="shared" si="1"/>
        <v>1.4668277759923606E-4</v>
      </c>
      <c r="D30">
        <f t="shared" si="0"/>
        <v>-1.5319675067010322E-2</v>
      </c>
      <c r="E30">
        <f t="shared" si="2"/>
        <v>-1.5172992289411087E-2</v>
      </c>
    </row>
    <row r="31" spans="2:5" x14ac:dyDescent="0.25">
      <c r="B31">
        <f t="shared" si="3"/>
        <v>6.0000000000000027</v>
      </c>
      <c r="C31">
        <f t="shared" si="1"/>
        <v>9.7656249999999504E-5</v>
      </c>
      <c r="D31">
        <f t="shared" si="0"/>
        <v>-1.2499999999999969E-2</v>
      </c>
      <c r="E31">
        <f t="shared" si="2"/>
        <v>-1.240234374999997E-2</v>
      </c>
    </row>
    <row r="32" spans="2:5" x14ac:dyDescent="0.25">
      <c r="B32">
        <f t="shared" si="3"/>
        <v>6.2000000000000028</v>
      </c>
      <c r="C32">
        <f t="shared" si="1"/>
        <v>6.5889281840415107E-5</v>
      </c>
      <c r="D32">
        <f t="shared" si="0"/>
        <v>-1.0267563048000446E-2</v>
      </c>
      <c r="E32">
        <f t="shared" si="2"/>
        <v>-1.0201673766160031E-2</v>
      </c>
    </row>
    <row r="33" spans="2:5" x14ac:dyDescent="0.25">
      <c r="B33">
        <f t="shared" si="3"/>
        <v>6.400000000000003</v>
      </c>
      <c r="C33">
        <f t="shared" si="1"/>
        <v>4.5014803652177066E-5</v>
      </c>
      <c r="D33">
        <f t="shared" si="0"/>
        <v>-8.4866769611835306E-3</v>
      </c>
      <c r="E33">
        <f t="shared" si="2"/>
        <v>-8.4416621575313534E-3</v>
      </c>
    </row>
    <row r="34" spans="2:5" x14ac:dyDescent="0.25">
      <c r="B34">
        <f t="shared" si="3"/>
        <v>6.6000000000000032</v>
      </c>
      <c r="C34">
        <f t="shared" si="1"/>
        <v>3.111629079202687E-5</v>
      </c>
      <c r="D34">
        <f t="shared" si="0"/>
        <v>-7.0559241256722E-3</v>
      </c>
      <c r="E34">
        <f t="shared" si="2"/>
        <v>-7.0248078348801729E-3</v>
      </c>
    </row>
    <row r="35" spans="2:5" x14ac:dyDescent="0.25">
      <c r="B35">
        <f t="shared" si="3"/>
        <v>6.8000000000000034</v>
      </c>
      <c r="C35">
        <f t="shared" si="1"/>
        <v>2.1747437704878673E-5</v>
      </c>
      <c r="D35">
        <f t="shared" si="0"/>
        <v>-5.8988049915051329E-3</v>
      </c>
      <c r="E35">
        <f t="shared" si="2"/>
        <v>-5.8770575538002546E-3</v>
      </c>
    </row>
    <row r="36" spans="2:5" x14ac:dyDescent="0.25">
      <c r="B36">
        <f t="shared" si="3"/>
        <v>7.0000000000000036</v>
      </c>
      <c r="C36">
        <f t="shared" si="1"/>
        <v>1.5358138077262126E-5</v>
      </c>
      <c r="D36">
        <f t="shared" si="0"/>
        <v>-4.9571182075495643E-3</v>
      </c>
      <c r="E36">
        <f t="shared" si="2"/>
        <v>-4.9417600694723019E-3</v>
      </c>
    </row>
    <row r="37" spans="2:5" x14ac:dyDescent="0.25">
      <c r="B37">
        <f t="shared" si="3"/>
        <v>7.2000000000000037</v>
      </c>
      <c r="C37">
        <f t="shared" si="1"/>
        <v>1.0952798318809999E-5</v>
      </c>
      <c r="D37">
        <f t="shared" si="0"/>
        <v>-4.1862247085047884E-3</v>
      </c>
      <c r="E37">
        <f t="shared" si="2"/>
        <v>-4.1752719101859782E-3</v>
      </c>
    </row>
    <row r="38" spans="2:5" x14ac:dyDescent="0.25">
      <c r="B38">
        <f t="shared" si="3"/>
        <v>7.4000000000000039</v>
      </c>
      <c r="C38">
        <f t="shared" si="1"/>
        <v>7.8837784492744462E-6</v>
      </c>
      <c r="D38">
        <f t="shared" ref="D38:D56" si="4">-(PotRep*Well/PotAtt)*((B38/VdWmin)^-6)</f>
        <v>-3.5516257571482834E-3</v>
      </c>
      <c r="E38">
        <f t="shared" si="2"/>
        <v>-3.543741978699009E-3</v>
      </c>
    </row>
    <row r="39" spans="2:5" x14ac:dyDescent="0.25">
      <c r="B39">
        <f t="shared" si="3"/>
        <v>7.6000000000000041</v>
      </c>
      <c r="C39">
        <f t="shared" ref="C39:C56" si="5">(12*Well/6)*(6/12*(B39/VdWmin)^-12)</f>
        <v>5.7246895597564677E-6</v>
      </c>
      <c r="D39">
        <f t="shared" si="4"/>
        <v>-3.0264671310969741E-3</v>
      </c>
      <c r="E39">
        <f t="shared" si="2"/>
        <v>-3.0207424415372177E-3</v>
      </c>
    </row>
    <row r="40" spans="2:5" x14ac:dyDescent="0.25">
      <c r="B40">
        <f t="shared" si="3"/>
        <v>7.8000000000000043</v>
      </c>
      <c r="C40">
        <f t="shared" si="5"/>
        <v>4.1915998455069585E-6</v>
      </c>
      <c r="D40">
        <f t="shared" si="4"/>
        <v>-2.5897026379125337E-3</v>
      </c>
      <c r="E40">
        <f t="shared" si="2"/>
        <v>-2.5855110380670269E-3</v>
      </c>
    </row>
    <row r="41" spans="2:5" x14ac:dyDescent="0.25">
      <c r="B41">
        <f t="shared" si="3"/>
        <v>8.0000000000000036</v>
      </c>
      <c r="C41">
        <f t="shared" si="5"/>
        <v>3.0933937523513862E-6</v>
      </c>
      <c r="D41">
        <f t="shared" si="4"/>
        <v>-2.2247314453124937E-3</v>
      </c>
      <c r="E41">
        <f t="shared" si="2"/>
        <v>-2.2216380515601422E-3</v>
      </c>
    </row>
    <row r="42" spans="2:5" x14ac:dyDescent="0.25">
      <c r="B42">
        <f t="shared" si="3"/>
        <v>8.2000000000000028</v>
      </c>
      <c r="C42">
        <f t="shared" si="5"/>
        <v>2.3001111293232644E-6</v>
      </c>
      <c r="D42">
        <f t="shared" si="4"/>
        <v>-1.9183789528967481E-3</v>
      </c>
      <c r="E42">
        <f t="shared" si="2"/>
        <v>-1.916078841767425E-3</v>
      </c>
    </row>
    <row r="43" spans="2:5" x14ac:dyDescent="0.25">
      <c r="B43">
        <f t="shared" si="3"/>
        <v>8.4000000000000021</v>
      </c>
      <c r="C43">
        <f t="shared" si="5"/>
        <v>1.7225173904659429E-6</v>
      </c>
      <c r="D43">
        <f t="shared" si="4"/>
        <v>-1.6601288578738428E-3</v>
      </c>
      <c r="E43">
        <f t="shared" si="2"/>
        <v>-1.6584063404833768E-3</v>
      </c>
    </row>
    <row r="44" spans="2:5" x14ac:dyDescent="0.25">
      <c r="B44">
        <f t="shared" si="3"/>
        <v>8.6000000000000014</v>
      </c>
      <c r="C44">
        <f t="shared" si="5"/>
        <v>1.2987741408212721E-6</v>
      </c>
      <c r="D44">
        <f t="shared" si="4"/>
        <v>-1.4415403654820197E-3</v>
      </c>
      <c r="E44">
        <f t="shared" si="2"/>
        <v>-1.4402415913411983E-3</v>
      </c>
    </row>
    <row r="45" spans="2:5" x14ac:dyDescent="0.25">
      <c r="B45">
        <f t="shared" si="3"/>
        <v>8.8000000000000007</v>
      </c>
      <c r="C45">
        <f t="shared" si="5"/>
        <v>9.8565058081183516E-7</v>
      </c>
      <c r="D45">
        <f t="shared" si="4"/>
        <v>-1.2558029022497665E-3</v>
      </c>
      <c r="E45">
        <f t="shared" si="2"/>
        <v>-1.2548172516689546E-3</v>
      </c>
    </row>
    <row r="46" spans="2:5" x14ac:dyDescent="0.25">
      <c r="B46">
        <f t="shared" si="3"/>
        <v>9</v>
      </c>
      <c r="C46">
        <f t="shared" si="5"/>
        <v>7.5267056926356846E-7</v>
      </c>
      <c r="D46">
        <f t="shared" si="4"/>
        <v>-1.0973936899862826E-3</v>
      </c>
      <c r="E46">
        <f t="shared" si="2"/>
        <v>-1.096641019417019E-3</v>
      </c>
    </row>
    <row r="47" spans="2:5" x14ac:dyDescent="0.25">
      <c r="B47">
        <f t="shared" si="3"/>
        <v>9.1999999999999993</v>
      </c>
      <c r="C47">
        <f t="shared" si="5"/>
        <v>5.7817741065723799E-7</v>
      </c>
      <c r="D47">
        <f t="shared" si="4"/>
        <v>-9.6181279730079541E-4</v>
      </c>
      <c r="E47">
        <f t="shared" si="2"/>
        <v>-9.6123461989013818E-4</v>
      </c>
    </row>
    <row r="48" spans="2:5" x14ac:dyDescent="0.25">
      <c r="B48">
        <f t="shared" si="3"/>
        <v>9.3999999999999986</v>
      </c>
      <c r="C48">
        <f t="shared" si="5"/>
        <v>4.4666384977276451E-7</v>
      </c>
      <c r="D48">
        <f t="shared" si="4"/>
        <v>-8.4537693346602703E-4</v>
      </c>
      <c r="E48">
        <f t="shared" si="2"/>
        <v>-8.4493026961625427E-4</v>
      </c>
    </row>
    <row r="49" spans="2:5" x14ac:dyDescent="0.25">
      <c r="B49">
        <f t="shared" si="3"/>
        <v>9.5999999999999979</v>
      </c>
      <c r="C49">
        <f t="shared" si="5"/>
        <v>3.4694469519536264E-7</v>
      </c>
      <c r="D49">
        <f t="shared" si="4"/>
        <v>-7.4505805969238411E-4</v>
      </c>
      <c r="E49">
        <f t="shared" si="2"/>
        <v>-7.4471111499718875E-4</v>
      </c>
    </row>
    <row r="50" spans="2:5" x14ac:dyDescent="0.25">
      <c r="B50">
        <f t="shared" si="3"/>
        <v>9.7999999999999972</v>
      </c>
      <c r="C50">
        <f t="shared" si="5"/>
        <v>2.7089571761419783E-7</v>
      </c>
      <c r="D50">
        <f t="shared" si="4"/>
        <v>-6.5835639905959496E-4</v>
      </c>
      <c r="E50">
        <f t="shared" si="2"/>
        <v>-6.5808550334198082E-4</v>
      </c>
    </row>
    <row r="51" spans="2:5" x14ac:dyDescent="0.25">
      <c r="B51">
        <f t="shared" si="3"/>
        <v>9.9999999999999964</v>
      </c>
      <c r="C51">
        <f t="shared" si="5"/>
        <v>2.1257640000000088E-7</v>
      </c>
      <c r="D51">
        <f t="shared" si="4"/>
        <v>-5.8320000000000127E-4</v>
      </c>
      <c r="E51">
        <f t="shared" si="2"/>
        <v>-5.829874236000013E-4</v>
      </c>
    </row>
    <row r="52" spans="2:5" x14ac:dyDescent="0.25">
      <c r="B52">
        <f t="shared" si="3"/>
        <v>10.199999999999996</v>
      </c>
      <c r="C52">
        <f t="shared" si="5"/>
        <v>1.676150406897173E-7</v>
      </c>
      <c r="D52">
        <f t="shared" si="4"/>
        <v>-5.1786491009098861E-4</v>
      </c>
      <c r="E52">
        <f t="shared" si="2"/>
        <v>-5.1769729505029888E-4</v>
      </c>
    </row>
    <row r="53" spans="2:5" x14ac:dyDescent="0.25">
      <c r="B53">
        <f t="shared" si="3"/>
        <v>10.399999999999995</v>
      </c>
      <c r="C53">
        <f t="shared" si="5"/>
        <v>1.327745922503526E-7</v>
      </c>
      <c r="D53">
        <f t="shared" si="4"/>
        <v>-4.6091143140582246E-4</v>
      </c>
      <c r="E53">
        <f t="shared" si="2"/>
        <v>-4.6077865681357213E-4</v>
      </c>
    </row>
    <row r="54" spans="2:5" x14ac:dyDescent="0.25">
      <c r="B54">
        <f t="shared" si="3"/>
        <v>10.599999999999994</v>
      </c>
      <c r="C54">
        <f t="shared" si="5"/>
        <v>1.0564395821949066E-7</v>
      </c>
      <c r="D54">
        <f t="shared" si="4"/>
        <v>-4.1113298718442072E-4</v>
      </c>
      <c r="E54">
        <f t="shared" si="2"/>
        <v>-4.1102734322620121E-4</v>
      </c>
    </row>
    <row r="55" spans="2:5" x14ac:dyDescent="0.25">
      <c r="B55">
        <f t="shared" si="3"/>
        <v>10.799999999999994</v>
      </c>
      <c r="C55">
        <f t="shared" si="5"/>
        <v>8.4417013203434366E-8</v>
      </c>
      <c r="D55">
        <f t="shared" si="4"/>
        <v>-3.6751492639822803E-4</v>
      </c>
      <c r="E55">
        <f t="shared" si="2"/>
        <v>-3.6743050938502458E-4</v>
      </c>
    </row>
    <row r="56" spans="2:5" x14ac:dyDescent="0.25">
      <c r="B56">
        <f t="shared" si="3"/>
        <v>10.999999999999993</v>
      </c>
      <c r="C56">
        <f t="shared" si="5"/>
        <v>6.7733392157924443E-8</v>
      </c>
      <c r="D56">
        <f t="shared" si="4"/>
        <v>-3.2920119600736436E-4</v>
      </c>
      <c r="E56">
        <f t="shared" si="2"/>
        <v>-3.2913346261520646E-4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opLeftCell="A12" workbookViewId="0">
      <selection activeCell="C1" sqref="C1"/>
    </sheetView>
  </sheetViews>
  <sheetFormatPr defaultRowHeight="15" x14ac:dyDescent="0.25"/>
  <cols>
    <col min="1" max="1" width="16.28515625" customWidth="1"/>
    <col min="4" max="4" width="12" bestFit="1" customWidth="1"/>
    <col min="6" max="6" width="12.5703125" bestFit="1" customWidth="1"/>
    <col min="7" max="7" width="13.42578125" bestFit="1" customWidth="1"/>
    <col min="8" max="8" width="15.7109375" bestFit="1" customWidth="1"/>
    <col min="9" max="9" width="12" bestFit="1" customWidth="1"/>
    <col min="14" max="14" width="15.28515625" customWidth="1"/>
    <col min="18" max="18" width="19.140625" customWidth="1"/>
  </cols>
  <sheetData>
    <row r="1" spans="1:20" ht="17.25" x14ac:dyDescent="0.25">
      <c r="C1" s="14" t="s">
        <v>729</v>
      </c>
      <c r="G1" s="14" t="s">
        <v>314</v>
      </c>
      <c r="N1" s="14" t="s">
        <v>315</v>
      </c>
      <c r="R1" s="14" t="s">
        <v>284</v>
      </c>
      <c r="S1" s="14" t="s">
        <v>316</v>
      </c>
      <c r="T1" s="14" t="s">
        <v>317</v>
      </c>
    </row>
    <row r="2" spans="1:20" x14ac:dyDescent="0.25">
      <c r="B2" s="14" t="s">
        <v>318</v>
      </c>
      <c r="N2" s="14" t="s">
        <v>319</v>
      </c>
      <c r="O2" s="14" t="s">
        <v>320</v>
      </c>
      <c r="P2" s="14" t="s">
        <v>321</v>
      </c>
      <c r="R2" s="18" t="s">
        <v>322</v>
      </c>
      <c r="S2" s="18" t="s">
        <v>323</v>
      </c>
      <c r="T2">
        <v>58</v>
      </c>
    </row>
    <row r="3" spans="1:20" x14ac:dyDescent="0.25">
      <c r="N3" t="s">
        <v>324</v>
      </c>
      <c r="O3">
        <v>3.8</v>
      </c>
      <c r="P3">
        <v>0.34</v>
      </c>
      <c r="R3" s="18" t="s">
        <v>136</v>
      </c>
      <c r="S3" s="18" t="s">
        <v>325</v>
      </c>
      <c r="T3">
        <v>74</v>
      </c>
    </row>
    <row r="4" spans="1:20" x14ac:dyDescent="0.25">
      <c r="N4" t="s">
        <v>326</v>
      </c>
      <c r="O4">
        <v>4.8</v>
      </c>
      <c r="P4">
        <v>0.46</v>
      </c>
      <c r="R4" s="18" t="s">
        <v>137</v>
      </c>
      <c r="S4" s="18" t="s">
        <v>327</v>
      </c>
      <c r="T4">
        <v>53</v>
      </c>
    </row>
    <row r="5" spans="1:20" x14ac:dyDescent="0.25">
      <c r="A5" s="14" t="s">
        <v>328</v>
      </c>
      <c r="B5" s="2">
        <v>0.1</v>
      </c>
      <c r="C5" t="s">
        <v>329</v>
      </c>
      <c r="D5">
        <f>B5*1000</f>
        <v>100</v>
      </c>
      <c r="E5" t="s">
        <v>330</v>
      </c>
      <c r="N5" t="s">
        <v>331</v>
      </c>
      <c r="O5">
        <v>5.2</v>
      </c>
      <c r="P5">
        <v>0.54</v>
      </c>
      <c r="R5" s="18" t="s">
        <v>332</v>
      </c>
      <c r="S5" s="18" t="s">
        <v>333</v>
      </c>
      <c r="T5">
        <v>109</v>
      </c>
    </row>
    <row r="6" spans="1:20" x14ac:dyDescent="0.25">
      <c r="A6" s="14" t="s">
        <v>334</v>
      </c>
      <c r="B6" s="2">
        <v>1</v>
      </c>
      <c r="D6">
        <f>B6</f>
        <v>1</v>
      </c>
      <c r="E6" t="s">
        <v>335</v>
      </c>
      <c r="F6">
        <f>0.5*(D5*D6^2+D5*D7^2)</f>
        <v>100</v>
      </c>
      <c r="G6" t="s">
        <v>336</v>
      </c>
      <c r="H6" t="s">
        <v>337</v>
      </c>
      <c r="N6" t="s">
        <v>184</v>
      </c>
      <c r="O6">
        <v>3.1</v>
      </c>
      <c r="P6">
        <v>0.5</v>
      </c>
      <c r="R6" s="18" t="s">
        <v>218</v>
      </c>
      <c r="S6" s="18" t="s">
        <v>340</v>
      </c>
      <c r="T6">
        <v>90</v>
      </c>
    </row>
    <row r="7" spans="1:20" x14ac:dyDescent="0.25">
      <c r="A7" s="14" t="s">
        <v>341</v>
      </c>
      <c r="B7" s="2">
        <v>1</v>
      </c>
      <c r="D7">
        <f>B7</f>
        <v>1</v>
      </c>
      <c r="H7" s="14" t="s">
        <v>317</v>
      </c>
      <c r="I7" t="s">
        <v>134</v>
      </c>
      <c r="J7" s="2">
        <v>18</v>
      </c>
      <c r="K7" t="s">
        <v>342</v>
      </c>
      <c r="L7">
        <f>J7/1000000</f>
        <v>1.8E-5</v>
      </c>
      <c r="M7" t="s">
        <v>343</v>
      </c>
      <c r="N7" t="s">
        <v>165</v>
      </c>
      <c r="O7">
        <v>3.9</v>
      </c>
      <c r="P7">
        <v>0.5</v>
      </c>
      <c r="R7" s="18" t="s">
        <v>345</v>
      </c>
      <c r="S7" s="18" t="s">
        <v>346</v>
      </c>
      <c r="T7">
        <v>106</v>
      </c>
    </row>
    <row r="8" spans="1:20" x14ac:dyDescent="0.25">
      <c r="A8" s="14"/>
      <c r="H8" s="14" t="s">
        <v>316</v>
      </c>
      <c r="I8" t="s">
        <v>347</v>
      </c>
      <c r="J8" s="2">
        <v>80</v>
      </c>
      <c r="N8" t="s">
        <v>338</v>
      </c>
      <c r="O8">
        <v>3.7</v>
      </c>
      <c r="P8" t="s">
        <v>339</v>
      </c>
      <c r="R8" s="18" t="s">
        <v>349</v>
      </c>
      <c r="S8" s="18" t="s">
        <v>350</v>
      </c>
      <c r="T8">
        <v>61</v>
      </c>
    </row>
    <row r="9" spans="1:20" x14ac:dyDescent="0.25">
      <c r="A9" s="14"/>
      <c r="H9" s="14"/>
      <c r="N9" t="s">
        <v>344</v>
      </c>
      <c r="O9">
        <v>6.5</v>
      </c>
      <c r="P9">
        <v>0.83</v>
      </c>
      <c r="R9" s="18" t="s">
        <v>352</v>
      </c>
      <c r="S9" s="18" t="s">
        <v>353</v>
      </c>
      <c r="T9">
        <v>97</v>
      </c>
    </row>
    <row r="10" spans="1:20" ht="18" x14ac:dyDescent="0.35">
      <c r="A10" s="14"/>
      <c r="B10" s="14" t="s">
        <v>354</v>
      </c>
      <c r="F10">
        <f>SQRT(e0*ε*kB*T/(2*NA*e^2*I))</f>
        <v>9.9048053946045284E-10</v>
      </c>
      <c r="G10" t="s">
        <v>3</v>
      </c>
      <c r="H10" s="14" t="s">
        <v>355</v>
      </c>
      <c r="I10" t="s">
        <v>356</v>
      </c>
      <c r="J10" s="19">
        <v>8.8541870000000005E-12</v>
      </c>
      <c r="K10" t="s">
        <v>357</v>
      </c>
      <c r="N10" t="s">
        <v>348</v>
      </c>
      <c r="O10">
        <v>8.8000000000000007</v>
      </c>
      <c r="P10">
        <v>1.7</v>
      </c>
      <c r="R10" s="18" t="s">
        <v>359</v>
      </c>
      <c r="S10" s="18" t="s">
        <v>360</v>
      </c>
      <c r="T10">
        <v>102</v>
      </c>
    </row>
    <row r="11" spans="1:20" x14ac:dyDescent="0.25">
      <c r="A11" s="14"/>
      <c r="H11" s="14" t="s">
        <v>361</v>
      </c>
      <c r="I11" t="s">
        <v>362</v>
      </c>
      <c r="J11" s="3">
        <v>1.6021764600000001E-19</v>
      </c>
      <c r="K11" t="s">
        <v>363</v>
      </c>
      <c r="N11" t="s">
        <v>645</v>
      </c>
      <c r="O11">
        <v>15.5</v>
      </c>
      <c r="P11">
        <v>4</v>
      </c>
      <c r="R11" s="18" t="s">
        <v>219</v>
      </c>
      <c r="S11" s="18" t="s">
        <v>365</v>
      </c>
      <c r="T11">
        <v>81</v>
      </c>
    </row>
    <row r="12" spans="1:20" ht="18" x14ac:dyDescent="0.35">
      <c r="A12" s="14"/>
      <c r="H12" s="14" t="s">
        <v>366</v>
      </c>
      <c r="I12" t="s">
        <v>367</v>
      </c>
      <c r="J12" s="3">
        <v>1.3806479999999999E-23</v>
      </c>
      <c r="K12" t="s">
        <v>368</v>
      </c>
      <c r="N12" t="s">
        <v>646</v>
      </c>
      <c r="O12">
        <v>10.6</v>
      </c>
      <c r="P12">
        <v>2</v>
      </c>
      <c r="R12" s="18" t="s">
        <v>152</v>
      </c>
      <c r="S12" s="18" t="s">
        <v>370</v>
      </c>
      <c r="T12">
        <v>109</v>
      </c>
    </row>
    <row r="13" spans="1:20" ht="18" x14ac:dyDescent="0.35">
      <c r="A13" s="14" t="s">
        <v>371</v>
      </c>
      <c r="B13" s="2">
        <v>37</v>
      </c>
      <c r="C13" s="17" t="s">
        <v>372</v>
      </c>
      <c r="D13">
        <f>B13+273.15</f>
        <v>310.14999999999998</v>
      </c>
      <c r="E13" s="17" t="s">
        <v>373</v>
      </c>
      <c r="H13" s="14" t="s">
        <v>374</v>
      </c>
      <c r="I13" t="s">
        <v>375</v>
      </c>
      <c r="J13" s="3">
        <v>6.0221399999999997E+23</v>
      </c>
      <c r="K13" s="17" t="s">
        <v>376</v>
      </c>
      <c r="N13" t="s">
        <v>648</v>
      </c>
      <c r="O13">
        <v>17</v>
      </c>
      <c r="P13">
        <v>6</v>
      </c>
      <c r="Q13" s="17"/>
      <c r="R13" s="18" t="s">
        <v>143</v>
      </c>
      <c r="S13" s="18" t="s">
        <v>378</v>
      </c>
      <c r="T13">
        <v>92</v>
      </c>
    </row>
    <row r="14" spans="1:20" x14ac:dyDescent="0.25">
      <c r="A14" s="14"/>
      <c r="N14" t="s">
        <v>351</v>
      </c>
      <c r="O14">
        <v>10.1</v>
      </c>
      <c r="P14">
        <v>2.23</v>
      </c>
      <c r="R14" s="18" t="s">
        <v>380</v>
      </c>
      <c r="S14" s="18" t="s">
        <v>381</v>
      </c>
      <c r="T14">
        <v>170</v>
      </c>
    </row>
    <row r="15" spans="1:20" x14ac:dyDescent="0.25">
      <c r="A15" s="14" t="s">
        <v>382</v>
      </c>
      <c r="B15" s="2">
        <v>41</v>
      </c>
      <c r="C15" t="s">
        <v>383</v>
      </c>
      <c r="D15">
        <f>B15/1000</f>
        <v>4.1000000000000002E-2</v>
      </c>
      <c r="E15" t="s">
        <v>110</v>
      </c>
      <c r="N15" t="s">
        <v>358</v>
      </c>
      <c r="O15">
        <v>7.2</v>
      </c>
      <c r="P15">
        <v>1.04</v>
      </c>
      <c r="R15" s="18" t="s">
        <v>385</v>
      </c>
      <c r="S15" s="18" t="s">
        <v>386</v>
      </c>
      <c r="T15">
        <v>113</v>
      </c>
    </row>
    <row r="16" spans="1:20" x14ac:dyDescent="0.25">
      <c r="A16" s="14" t="s">
        <v>387</v>
      </c>
      <c r="B16" s="2">
        <v>20</v>
      </c>
      <c r="C16" t="s">
        <v>1</v>
      </c>
      <c r="D16">
        <f>B16/1000000000</f>
        <v>2E-8</v>
      </c>
      <c r="E16" t="s">
        <v>3</v>
      </c>
      <c r="N16" t="s">
        <v>647</v>
      </c>
      <c r="O16">
        <v>10</v>
      </c>
      <c r="P16">
        <v>2</v>
      </c>
      <c r="R16" s="18" t="s">
        <v>388</v>
      </c>
      <c r="S16" s="18" t="s">
        <v>389</v>
      </c>
      <c r="T16">
        <v>79</v>
      </c>
    </row>
    <row r="17" spans="1:20" ht="18.75" x14ac:dyDescent="0.35">
      <c r="A17" s="14" t="s">
        <v>390</v>
      </c>
      <c r="B17" s="2">
        <v>1</v>
      </c>
      <c r="C17" s="17" t="s">
        <v>391</v>
      </c>
      <c r="D17">
        <f>B17*1E-20</f>
        <v>9.9999999999999995E-21</v>
      </c>
      <c r="E17" t="s">
        <v>46</v>
      </c>
      <c r="N17" s="17" t="s">
        <v>364</v>
      </c>
      <c r="O17" s="17">
        <v>15.6</v>
      </c>
      <c r="P17" s="17">
        <v>5.32</v>
      </c>
      <c r="R17" s="18" t="s">
        <v>392</v>
      </c>
      <c r="S17" s="18" t="s">
        <v>393</v>
      </c>
      <c r="T17">
        <v>64</v>
      </c>
    </row>
    <row r="18" spans="1:20" x14ac:dyDescent="0.25">
      <c r="A18" s="14" t="s">
        <v>394</v>
      </c>
      <c r="B18" s="2">
        <v>0.3</v>
      </c>
      <c r="D18">
        <f>B18</f>
        <v>0.3</v>
      </c>
      <c r="N18" t="s">
        <v>369</v>
      </c>
      <c r="O18">
        <v>7.1</v>
      </c>
      <c r="P18">
        <v>1.05</v>
      </c>
      <c r="R18" s="18" t="s">
        <v>395</v>
      </c>
      <c r="S18" s="18" t="s">
        <v>396</v>
      </c>
      <c r="T18">
        <v>104</v>
      </c>
    </row>
    <row r="19" spans="1:20" x14ac:dyDescent="0.25">
      <c r="A19" s="14" t="s">
        <v>397</v>
      </c>
      <c r="B19" s="2">
        <v>1</v>
      </c>
      <c r="C19" t="s">
        <v>25</v>
      </c>
      <c r="D19">
        <f>B19*1000</f>
        <v>1000</v>
      </c>
      <c r="E19" t="s">
        <v>26</v>
      </c>
      <c r="N19" t="s">
        <v>377</v>
      </c>
      <c r="O19">
        <v>7.8</v>
      </c>
      <c r="P19">
        <v>1.3</v>
      </c>
      <c r="R19" s="18" t="s">
        <v>398</v>
      </c>
      <c r="S19" s="18" t="s">
        <v>333</v>
      </c>
      <c r="T19">
        <v>105</v>
      </c>
    </row>
    <row r="20" spans="1:20" x14ac:dyDescent="0.25">
      <c r="A20" s="14" t="s">
        <v>399</v>
      </c>
      <c r="B20" s="2">
        <v>0.2</v>
      </c>
      <c r="C20" t="s">
        <v>1</v>
      </c>
      <c r="D20">
        <f>B20/1000000000</f>
        <v>2.0000000000000001E-10</v>
      </c>
      <c r="E20" t="s">
        <v>3</v>
      </c>
      <c r="N20" t="s">
        <v>644</v>
      </c>
      <c r="O20">
        <v>6.5</v>
      </c>
      <c r="P20">
        <v>0.8</v>
      </c>
      <c r="R20" s="18" t="s">
        <v>400</v>
      </c>
      <c r="S20" s="18" t="s">
        <v>401</v>
      </c>
      <c r="T20">
        <v>105</v>
      </c>
    </row>
    <row r="21" spans="1:20" x14ac:dyDescent="0.25">
      <c r="A21" s="14" t="s">
        <v>402</v>
      </c>
      <c r="B21" s="2">
        <v>1</v>
      </c>
      <c r="C21" t="s">
        <v>403</v>
      </c>
      <c r="D21">
        <f>B21/1000000</f>
        <v>9.9999999999999995E-7</v>
      </c>
      <c r="E21" t="s">
        <v>404</v>
      </c>
      <c r="N21" t="s">
        <v>379</v>
      </c>
      <c r="O21">
        <v>6</v>
      </c>
      <c r="P21">
        <v>0.74</v>
      </c>
      <c r="R21" s="18" t="s">
        <v>405</v>
      </c>
      <c r="S21" s="18" t="s">
        <v>406</v>
      </c>
      <c r="T21">
        <v>93</v>
      </c>
    </row>
    <row r="22" spans="1:20" x14ac:dyDescent="0.25">
      <c r="A22" s="14"/>
      <c r="N22" t="s">
        <v>384</v>
      </c>
      <c r="O22">
        <v>3.8</v>
      </c>
      <c r="P22">
        <v>0.33</v>
      </c>
      <c r="R22" s="18" t="s">
        <v>407</v>
      </c>
      <c r="S22" s="18" t="s">
        <v>408</v>
      </c>
      <c r="T22">
        <v>77</v>
      </c>
    </row>
    <row r="23" spans="1:20" x14ac:dyDescent="0.25">
      <c r="A23" s="14"/>
      <c r="R23" s="18" t="s">
        <v>409</v>
      </c>
      <c r="S23" s="18" t="s">
        <v>410</v>
      </c>
      <c r="T23">
        <v>71</v>
      </c>
    </row>
    <row r="24" spans="1:20" ht="18" x14ac:dyDescent="0.35">
      <c r="A24" s="14" t="s">
        <v>411</v>
      </c>
      <c r="B24" s="2">
        <v>10</v>
      </c>
      <c r="C24" t="s">
        <v>1</v>
      </c>
      <c r="D24">
        <f>B24/1000000000</f>
        <v>1E-8</v>
      </c>
      <c r="E24" t="s">
        <v>3</v>
      </c>
      <c r="F24" s="14" t="s">
        <v>412</v>
      </c>
      <c r="R24" s="18" t="s">
        <v>160</v>
      </c>
      <c r="S24" s="18" t="s">
        <v>413</v>
      </c>
      <c r="T24">
        <v>86</v>
      </c>
    </row>
    <row r="25" spans="1:20" x14ac:dyDescent="0.25">
      <c r="F25" s="14" t="s">
        <v>414</v>
      </c>
      <c r="G25" s="14" t="s">
        <v>415</v>
      </c>
      <c r="H25" s="14" t="s">
        <v>416</v>
      </c>
      <c r="I25" s="14" t="s">
        <v>224</v>
      </c>
      <c r="R25" s="18" t="s">
        <v>165</v>
      </c>
      <c r="S25" s="18" t="s">
        <v>417</v>
      </c>
      <c r="T25">
        <v>59</v>
      </c>
    </row>
    <row r="26" spans="1:20" ht="18" x14ac:dyDescent="0.35">
      <c r="B26" s="20" t="s">
        <v>418</v>
      </c>
      <c r="C26" s="10"/>
      <c r="D26" s="20" t="s">
        <v>419</v>
      </c>
      <c r="E26" s="10"/>
      <c r="F26" s="20" t="s">
        <v>420</v>
      </c>
      <c r="G26" s="20" t="s">
        <v>421</v>
      </c>
      <c r="H26" s="20" t="s">
        <v>422</v>
      </c>
      <c r="I26" s="20" t="s">
        <v>423</v>
      </c>
      <c r="R26" s="18" t="s">
        <v>166</v>
      </c>
      <c r="S26" s="18" t="s">
        <v>424</v>
      </c>
      <c r="T26">
        <v>99</v>
      </c>
    </row>
    <row r="27" spans="1:20" x14ac:dyDescent="0.25">
      <c r="B27" s="4">
        <f>Scale_h/50</f>
        <v>0.2</v>
      </c>
      <c r="D27" s="3">
        <f>B27/1000000000</f>
        <v>2.0000000000000001E-10</v>
      </c>
      <c r="F27" s="4">
        <f t="shared" ref="F27:F58" si="0">2*PI()*e0*ε*radius*Surface_Potential^2*LN(1+EXP(-D27/k_1))/(kB*T)</f>
        <v>20.870609227181337</v>
      </c>
      <c r="G27" s="4">
        <f t="shared" ref="G27:G58" si="1">-Hamaker*radius/(12*D27*kB*T)</f>
        <v>-19.460948363979554</v>
      </c>
      <c r="H27" s="4">
        <f t="shared" ref="H27:H35" si="2">IF( D27&gt;=2*Layer,0,30*NA*4*PI()*radius*Absorbed^2*(0.5-Chi)*(1-D27/(2*Layer))^2/(DLVODensity^2*MVol))</f>
        <v>12612.740521926156</v>
      </c>
      <c r="I27" s="4">
        <f>SUM(F27:H27)</f>
        <v>12614.150182789359</v>
      </c>
      <c r="R27" s="18" t="s">
        <v>425</v>
      </c>
      <c r="S27" s="18" t="s">
        <v>424</v>
      </c>
      <c r="T27">
        <v>144</v>
      </c>
    </row>
    <row r="28" spans="1:20" x14ac:dyDescent="0.25">
      <c r="B28" s="4">
        <f t="shared" ref="B28:B59" si="3">B27+Scale_h/50</f>
        <v>0.4</v>
      </c>
      <c r="D28" s="3">
        <f t="shared" ref="D28:D76" si="4">B28/1000000000</f>
        <v>4.0000000000000001E-10</v>
      </c>
      <c r="F28" s="4">
        <f t="shared" si="0"/>
        <v>17.872498037627921</v>
      </c>
      <c r="G28" s="4">
        <f t="shared" si="1"/>
        <v>-9.7304741819897771</v>
      </c>
      <c r="H28" s="4">
        <f t="shared" si="2"/>
        <v>0</v>
      </c>
      <c r="I28" s="4">
        <f t="shared" ref="I28:I76" si="5">SUM(F28:H28)</f>
        <v>8.1420238556381435</v>
      </c>
      <c r="R28" s="18" t="s">
        <v>426</v>
      </c>
      <c r="S28" s="18" t="s">
        <v>427</v>
      </c>
      <c r="T28">
        <v>40</v>
      </c>
    </row>
    <row r="29" spans="1:20" x14ac:dyDescent="0.25">
      <c r="B29" s="4">
        <f t="shared" si="3"/>
        <v>0.60000000000000009</v>
      </c>
      <c r="D29" s="3">
        <f t="shared" si="4"/>
        <v>6.000000000000001E-10</v>
      </c>
      <c r="F29" s="4">
        <f t="shared" si="0"/>
        <v>15.21591957795666</v>
      </c>
      <c r="G29" s="4">
        <f t="shared" si="1"/>
        <v>-6.486982787993183</v>
      </c>
      <c r="H29" s="4">
        <f t="shared" si="2"/>
        <v>0</v>
      </c>
      <c r="I29" s="4">
        <f t="shared" si="5"/>
        <v>8.7289367899634769</v>
      </c>
      <c r="R29" s="18" t="s">
        <v>184</v>
      </c>
      <c r="S29" s="18" t="s">
        <v>428</v>
      </c>
      <c r="T29">
        <v>41</v>
      </c>
    </row>
    <row r="30" spans="1:20" x14ac:dyDescent="0.25">
      <c r="B30" s="4">
        <f t="shared" si="3"/>
        <v>0.8</v>
      </c>
      <c r="D30" s="3">
        <f t="shared" si="4"/>
        <v>8.0000000000000003E-10</v>
      </c>
      <c r="F30" s="4">
        <f t="shared" si="0"/>
        <v>12.884336180942231</v>
      </c>
      <c r="G30" s="4">
        <f t="shared" si="1"/>
        <v>-4.8652370909948885</v>
      </c>
      <c r="H30" s="4">
        <f t="shared" si="2"/>
        <v>0</v>
      </c>
      <c r="I30" s="4">
        <f t="shared" si="5"/>
        <v>8.0190990899473427</v>
      </c>
      <c r="R30" s="18" t="s">
        <v>429</v>
      </c>
      <c r="S30" s="18" t="s">
        <v>430</v>
      </c>
      <c r="T30">
        <v>103</v>
      </c>
    </row>
    <row r="31" spans="1:20" x14ac:dyDescent="0.25">
      <c r="B31" s="4">
        <f t="shared" si="3"/>
        <v>1</v>
      </c>
      <c r="D31" s="3">
        <f t="shared" si="4"/>
        <v>1.0000000000000001E-9</v>
      </c>
      <c r="F31" s="4">
        <f t="shared" si="0"/>
        <v>10.856332719657027</v>
      </c>
      <c r="G31" s="4">
        <f t="shared" si="1"/>
        <v>-3.8921896727959102</v>
      </c>
      <c r="H31" s="4">
        <f t="shared" si="2"/>
        <v>0</v>
      </c>
      <c r="I31" s="4">
        <f t="shared" si="5"/>
        <v>6.9641430468611176</v>
      </c>
      <c r="R31" s="18" t="s">
        <v>431</v>
      </c>
      <c r="S31" s="18" t="s">
        <v>432</v>
      </c>
      <c r="T31">
        <v>54</v>
      </c>
    </row>
    <row r="32" spans="1:20" x14ac:dyDescent="0.25">
      <c r="B32" s="4">
        <f t="shared" si="3"/>
        <v>1.2</v>
      </c>
      <c r="D32" s="3">
        <f t="shared" si="4"/>
        <v>1.2E-9</v>
      </c>
      <c r="F32" s="4">
        <f t="shared" si="0"/>
        <v>9.1070342353513656</v>
      </c>
      <c r="G32" s="4">
        <f t="shared" si="1"/>
        <v>-3.2434913939965924</v>
      </c>
      <c r="H32" s="4">
        <f t="shared" si="2"/>
        <v>0</v>
      </c>
      <c r="I32" s="4">
        <f t="shared" si="5"/>
        <v>5.8635428413547732</v>
      </c>
      <c r="R32" s="18" t="s">
        <v>201</v>
      </c>
      <c r="S32" s="18" t="s">
        <v>433</v>
      </c>
      <c r="T32">
        <v>77</v>
      </c>
    </row>
    <row r="33" spans="2:20" x14ac:dyDescent="0.25">
      <c r="B33" s="4">
        <f t="shared" si="3"/>
        <v>1.4</v>
      </c>
      <c r="D33" s="3">
        <f t="shared" si="4"/>
        <v>1.3999999999999999E-9</v>
      </c>
      <c r="F33" s="4">
        <f t="shared" si="0"/>
        <v>7.6095620005618745</v>
      </c>
      <c r="G33" s="4">
        <f t="shared" si="1"/>
        <v>-2.7801354805685077</v>
      </c>
      <c r="H33" s="4">
        <f t="shared" si="2"/>
        <v>0</v>
      </c>
      <c r="I33" s="4">
        <f t="shared" si="5"/>
        <v>4.8294265199933673</v>
      </c>
      <c r="R33" s="18" t="s">
        <v>434</v>
      </c>
      <c r="S33" s="18" t="s">
        <v>435</v>
      </c>
      <c r="T33">
        <v>81</v>
      </c>
    </row>
    <row r="34" spans="2:20" x14ac:dyDescent="0.25">
      <c r="B34" s="4">
        <f t="shared" si="3"/>
        <v>1.5999999999999999</v>
      </c>
      <c r="D34" s="3">
        <f t="shared" si="4"/>
        <v>1.5999999999999999E-9</v>
      </c>
      <c r="F34" s="4">
        <f t="shared" si="0"/>
        <v>6.3363755058063349</v>
      </c>
      <c r="G34" s="4">
        <f t="shared" si="1"/>
        <v>-2.4326185454974443</v>
      </c>
      <c r="H34" s="4">
        <f t="shared" si="2"/>
        <v>0</v>
      </c>
      <c r="I34" s="4">
        <f t="shared" si="5"/>
        <v>3.9037569603088906</v>
      </c>
      <c r="R34" s="18" t="s">
        <v>436</v>
      </c>
      <c r="S34" s="18" t="s">
        <v>437</v>
      </c>
      <c r="T34">
        <v>82</v>
      </c>
    </row>
    <row r="35" spans="2:20" x14ac:dyDescent="0.25">
      <c r="B35" s="4">
        <f t="shared" si="3"/>
        <v>1.7999999999999998</v>
      </c>
      <c r="D35" s="3">
        <f t="shared" si="4"/>
        <v>1.7999999999999998E-9</v>
      </c>
      <c r="F35" s="4">
        <f t="shared" si="0"/>
        <v>5.2603969087761442</v>
      </c>
      <c r="G35" s="4">
        <f t="shared" si="1"/>
        <v>-2.1623275959977284</v>
      </c>
      <c r="H35" s="4">
        <f t="shared" si="2"/>
        <v>0</v>
      </c>
      <c r="I35" s="4">
        <f t="shared" si="5"/>
        <v>3.0980693127784158</v>
      </c>
      <c r="R35" s="18" t="s">
        <v>215</v>
      </c>
      <c r="S35" s="18" t="s">
        <v>438</v>
      </c>
      <c r="T35">
        <v>107</v>
      </c>
    </row>
    <row r="36" spans="2:20" x14ac:dyDescent="0.25">
      <c r="B36" s="4">
        <f t="shared" si="3"/>
        <v>1.9999999999999998</v>
      </c>
      <c r="D36" s="3">
        <f t="shared" si="4"/>
        <v>1.9999999999999997E-9</v>
      </c>
      <c r="F36" s="4">
        <f t="shared" si="0"/>
        <v>4.3558679893432979</v>
      </c>
      <c r="G36" s="4">
        <f t="shared" si="1"/>
        <v>-1.9460948363979556</v>
      </c>
      <c r="H36" s="4">
        <f>IF( D36&gt;=2*Layer,0,1000000*30*NA*4*PI()*radius*Absorbed^2*(0.5-Chi)*(1-D36/(2*Layer))^2/(DLVODensity^2*MVol*1000))</f>
        <v>0</v>
      </c>
      <c r="I36" s="4">
        <f t="shared" si="5"/>
        <v>2.4097731529453421</v>
      </c>
      <c r="R36" s="18" t="s">
        <v>439</v>
      </c>
      <c r="S36" s="18" t="s">
        <v>440</v>
      </c>
      <c r="T36">
        <v>90</v>
      </c>
    </row>
    <row r="37" spans="2:20" x14ac:dyDescent="0.25">
      <c r="B37" s="4">
        <f t="shared" si="3"/>
        <v>2.1999999999999997</v>
      </c>
      <c r="D37" s="3">
        <f t="shared" si="4"/>
        <v>2.1999999999999998E-9</v>
      </c>
      <c r="F37" s="4">
        <f t="shared" si="0"/>
        <v>3.5989353500752537</v>
      </c>
      <c r="G37" s="4">
        <f t="shared" si="1"/>
        <v>-1.7691771239981413</v>
      </c>
      <c r="H37" s="4">
        <f t="shared" ref="H37:H76" si="6">IF( D37&gt;=2*Layer,0,1000000*30*NA*4*PI()*radius*Absorbed^2*(0.5-Chi)*(1-D37/(2*Layer))^2/(DLVODensity^2*MVol))</f>
        <v>0</v>
      </c>
      <c r="I37" s="4">
        <f t="shared" si="5"/>
        <v>1.8297582260771124</v>
      </c>
      <c r="R37" s="18" t="s">
        <v>441</v>
      </c>
      <c r="S37" s="18" t="s">
        <v>442</v>
      </c>
      <c r="T37">
        <v>140</v>
      </c>
    </row>
    <row r="38" spans="2:20" x14ac:dyDescent="0.25">
      <c r="B38" s="4">
        <f t="shared" si="3"/>
        <v>2.4</v>
      </c>
      <c r="D38" s="3">
        <f t="shared" si="4"/>
        <v>2.4E-9</v>
      </c>
      <c r="F38" s="4">
        <f t="shared" si="0"/>
        <v>2.9679913355699683</v>
      </c>
      <c r="G38" s="4">
        <f t="shared" si="1"/>
        <v>-1.6217456969982962</v>
      </c>
      <c r="H38" s="4">
        <f t="shared" si="6"/>
        <v>0</v>
      </c>
      <c r="I38" s="4">
        <f t="shared" si="5"/>
        <v>1.3462456385716721</v>
      </c>
      <c r="R38" s="18" t="s">
        <v>338</v>
      </c>
      <c r="S38" s="18" t="s">
        <v>443</v>
      </c>
      <c r="T38">
        <v>18</v>
      </c>
    </row>
    <row r="39" spans="2:20" x14ac:dyDescent="0.25">
      <c r="B39" s="4">
        <f t="shared" si="3"/>
        <v>2.6</v>
      </c>
      <c r="D39" s="3">
        <f t="shared" si="4"/>
        <v>2.6000000000000001E-9</v>
      </c>
      <c r="F39" s="4">
        <f t="shared" si="0"/>
        <v>2.4438152148391667</v>
      </c>
      <c r="G39" s="4">
        <f t="shared" si="1"/>
        <v>-1.4969960279984271</v>
      </c>
      <c r="H39" s="4">
        <f t="shared" si="6"/>
        <v>0</v>
      </c>
      <c r="I39" s="4">
        <f t="shared" si="5"/>
        <v>0.94681918684073962</v>
      </c>
      <c r="R39" s="18" t="s">
        <v>216</v>
      </c>
      <c r="S39" s="18" t="s">
        <v>444</v>
      </c>
      <c r="T39">
        <v>121</v>
      </c>
    </row>
    <row r="40" spans="2:20" x14ac:dyDescent="0.25">
      <c r="B40" s="4">
        <f t="shared" si="3"/>
        <v>2.8000000000000003</v>
      </c>
      <c r="D40" s="3">
        <f t="shared" si="4"/>
        <v>2.8000000000000003E-9</v>
      </c>
      <c r="F40" s="4">
        <f t="shared" si="0"/>
        <v>2.0095642638007134</v>
      </c>
      <c r="G40" s="4">
        <f t="shared" si="1"/>
        <v>-1.3900677402842536</v>
      </c>
      <c r="H40" s="4">
        <f t="shared" si="6"/>
        <v>0</v>
      </c>
      <c r="I40" s="4">
        <f t="shared" si="5"/>
        <v>0.61949652351645978</v>
      </c>
    </row>
    <row r="41" spans="2:20" x14ac:dyDescent="0.25">
      <c r="B41" s="4">
        <f t="shared" si="3"/>
        <v>3.0000000000000004</v>
      </c>
      <c r="D41" s="3">
        <f t="shared" si="4"/>
        <v>3.0000000000000004E-9</v>
      </c>
      <c r="F41" s="4">
        <f t="shared" si="0"/>
        <v>1.6506614417488459</v>
      </c>
      <c r="G41" s="4">
        <f t="shared" si="1"/>
        <v>-1.2973965575986366</v>
      </c>
      <c r="H41" s="4">
        <f t="shared" si="6"/>
        <v>0</v>
      </c>
      <c r="I41" s="4">
        <f t="shared" si="5"/>
        <v>0.35326488415020929</v>
      </c>
    </row>
    <row r="42" spans="2:20" x14ac:dyDescent="0.25">
      <c r="B42" s="4">
        <f t="shared" si="3"/>
        <v>3.2000000000000006</v>
      </c>
      <c r="D42" s="3">
        <f t="shared" si="4"/>
        <v>3.2000000000000005E-9</v>
      </c>
      <c r="F42" s="4">
        <f t="shared" si="0"/>
        <v>1.3546191063215631</v>
      </c>
      <c r="G42" s="4">
        <f t="shared" si="1"/>
        <v>-1.2163092727487219</v>
      </c>
      <c r="H42" s="4">
        <f t="shared" si="6"/>
        <v>0</v>
      </c>
      <c r="I42" s="4">
        <f t="shared" si="5"/>
        <v>0.13830983357284121</v>
      </c>
    </row>
    <row r="43" spans="2:20" x14ac:dyDescent="0.25">
      <c r="B43" s="4">
        <f t="shared" si="3"/>
        <v>3.4000000000000008</v>
      </c>
      <c r="D43" s="3">
        <f t="shared" si="4"/>
        <v>3.4000000000000007E-9</v>
      </c>
      <c r="F43" s="4">
        <f t="shared" si="0"/>
        <v>1.1108294758626511</v>
      </c>
      <c r="G43" s="4">
        <f t="shared" si="1"/>
        <v>-1.1447616684693853</v>
      </c>
      <c r="H43" s="4">
        <f t="shared" si="6"/>
        <v>0</v>
      </c>
      <c r="I43" s="4">
        <f t="shared" si="5"/>
        <v>-3.3932192606734191E-2</v>
      </c>
    </row>
    <row r="44" spans="2:20" x14ac:dyDescent="0.25">
      <c r="B44" s="4">
        <f t="shared" si="3"/>
        <v>3.600000000000001</v>
      </c>
      <c r="D44" s="3">
        <f t="shared" si="4"/>
        <v>3.6000000000000008E-9</v>
      </c>
      <c r="F44" s="4">
        <f t="shared" si="0"/>
        <v>0.91034410738763094</v>
      </c>
      <c r="G44" s="4">
        <f t="shared" si="1"/>
        <v>-1.081163797998864</v>
      </c>
      <c r="H44" s="4">
        <f t="shared" si="6"/>
        <v>0</v>
      </c>
      <c r="I44" s="4">
        <f t="shared" si="5"/>
        <v>-0.17081969061123303</v>
      </c>
    </row>
    <row r="45" spans="2:20" x14ac:dyDescent="0.25">
      <c r="B45" s="4">
        <f t="shared" si="3"/>
        <v>3.8000000000000012</v>
      </c>
      <c r="D45" s="3">
        <f t="shared" si="4"/>
        <v>3.8000000000000009E-9</v>
      </c>
      <c r="F45" s="4">
        <f t="shared" si="0"/>
        <v>0.74565742696989956</v>
      </c>
      <c r="G45" s="4">
        <f t="shared" si="1"/>
        <v>-1.02426044020945</v>
      </c>
      <c r="H45" s="4">
        <f t="shared" si="6"/>
        <v>0</v>
      </c>
      <c r="I45" s="4">
        <f t="shared" si="5"/>
        <v>-0.27860301323955039</v>
      </c>
    </row>
    <row r="46" spans="2:20" x14ac:dyDescent="0.25">
      <c r="B46" s="4">
        <f t="shared" si="3"/>
        <v>4.0000000000000009</v>
      </c>
      <c r="D46" s="3">
        <f t="shared" si="4"/>
        <v>4.0000000000000011E-9</v>
      </c>
      <c r="F46" s="4">
        <f t="shared" si="0"/>
        <v>0.61050364125902556</v>
      </c>
      <c r="G46" s="4">
        <f t="shared" si="1"/>
        <v>-0.97304741819897733</v>
      </c>
      <c r="H46" s="4">
        <f t="shared" si="6"/>
        <v>0</v>
      </c>
      <c r="I46" s="4">
        <f t="shared" si="5"/>
        <v>-0.36254377693995177</v>
      </c>
    </row>
    <row r="47" spans="2:20" x14ac:dyDescent="0.25">
      <c r="B47" s="4">
        <f t="shared" si="3"/>
        <v>4.2000000000000011</v>
      </c>
      <c r="D47" s="3">
        <f t="shared" si="4"/>
        <v>4.2000000000000012E-9</v>
      </c>
      <c r="F47" s="4">
        <f t="shared" si="0"/>
        <v>0.49967213409427119</v>
      </c>
      <c r="G47" s="4">
        <f t="shared" si="1"/>
        <v>-0.92671182685616915</v>
      </c>
      <c r="H47" s="4">
        <f t="shared" si="6"/>
        <v>0</v>
      </c>
      <c r="I47" s="4">
        <f t="shared" si="5"/>
        <v>-0.42703969276189796</v>
      </c>
    </row>
    <row r="48" spans="2:20" x14ac:dyDescent="0.25">
      <c r="B48" s="4">
        <f t="shared" si="3"/>
        <v>4.4000000000000012</v>
      </c>
      <c r="D48" s="3">
        <f t="shared" si="4"/>
        <v>4.4000000000000013E-9</v>
      </c>
      <c r="F48" s="4">
        <f t="shared" si="0"/>
        <v>0.40884349978778289</v>
      </c>
      <c r="G48" s="4">
        <f t="shared" si="1"/>
        <v>-0.88458856199907043</v>
      </c>
      <c r="H48" s="4">
        <f t="shared" si="6"/>
        <v>0</v>
      </c>
      <c r="I48" s="4">
        <f t="shared" si="5"/>
        <v>-0.47574506221128754</v>
      </c>
    </row>
    <row r="49" spans="2:9" x14ac:dyDescent="0.25">
      <c r="B49" s="4">
        <f t="shared" si="3"/>
        <v>4.6000000000000014</v>
      </c>
      <c r="D49" s="3">
        <f t="shared" si="4"/>
        <v>4.6000000000000015E-9</v>
      </c>
      <c r="F49" s="4">
        <f t="shared" si="0"/>
        <v>0.33444641898676919</v>
      </c>
      <c r="G49" s="4">
        <f t="shared" si="1"/>
        <v>-0.84612818973824133</v>
      </c>
      <c r="H49" s="4">
        <f t="shared" si="6"/>
        <v>0</v>
      </c>
      <c r="I49" s="4">
        <f t="shared" si="5"/>
        <v>-0.51168177075147214</v>
      </c>
    </row>
    <row r="50" spans="2:9" x14ac:dyDescent="0.25">
      <c r="B50" s="4">
        <f t="shared" si="3"/>
        <v>4.8000000000000016</v>
      </c>
      <c r="D50" s="3">
        <f t="shared" si="4"/>
        <v>4.8000000000000016E-9</v>
      </c>
      <c r="F50" s="4">
        <f t="shared" si="0"/>
        <v>0.27353438783448619</v>
      </c>
      <c r="G50" s="4">
        <f t="shared" si="1"/>
        <v>-0.81087284849914787</v>
      </c>
      <c r="H50" s="4">
        <f t="shared" si="6"/>
        <v>0</v>
      </c>
      <c r="I50" s="4">
        <f t="shared" si="5"/>
        <v>-0.53733846066466162</v>
      </c>
    </row>
    <row r="51" spans="2:9" x14ac:dyDescent="0.25">
      <c r="B51" s="4">
        <f t="shared" si="3"/>
        <v>5.0000000000000018</v>
      </c>
      <c r="D51" s="3">
        <f t="shared" si="4"/>
        <v>5.0000000000000018E-9</v>
      </c>
      <c r="F51" s="4">
        <f t="shared" si="0"/>
        <v>0.22368064841072272</v>
      </c>
      <c r="G51" s="4">
        <f t="shared" si="1"/>
        <v>-0.77843793455918187</v>
      </c>
      <c r="H51" s="4">
        <f t="shared" si="6"/>
        <v>0</v>
      </c>
      <c r="I51" s="4">
        <f t="shared" si="5"/>
        <v>-0.55475728614845909</v>
      </c>
    </row>
    <row r="52" spans="2:9" x14ac:dyDescent="0.25">
      <c r="B52" s="4">
        <f t="shared" si="3"/>
        <v>5.200000000000002</v>
      </c>
      <c r="D52" s="3">
        <f t="shared" si="4"/>
        <v>5.2000000000000019E-9</v>
      </c>
      <c r="F52" s="4">
        <f t="shared" si="0"/>
        <v>0.18288936641098857</v>
      </c>
      <c r="G52" s="4">
        <f t="shared" si="1"/>
        <v>-0.74849801399921334</v>
      </c>
      <c r="H52" s="4">
        <f t="shared" si="6"/>
        <v>0</v>
      </c>
      <c r="I52" s="4">
        <f t="shared" si="5"/>
        <v>-0.56560864758822471</v>
      </c>
    </row>
    <row r="53" spans="2:9" x14ac:dyDescent="0.25">
      <c r="B53" s="4">
        <f t="shared" si="3"/>
        <v>5.4000000000000021</v>
      </c>
      <c r="D53" s="3">
        <f t="shared" si="4"/>
        <v>5.400000000000002E-9</v>
      </c>
      <c r="F53" s="4">
        <f t="shared" si="0"/>
        <v>0.1495210326724625</v>
      </c>
      <c r="G53" s="4">
        <f t="shared" si="1"/>
        <v>-0.72077586533257576</v>
      </c>
      <c r="H53" s="4">
        <f t="shared" si="6"/>
        <v>0</v>
      </c>
      <c r="I53" s="4">
        <f t="shared" si="5"/>
        <v>-0.57125483266011323</v>
      </c>
    </row>
    <row r="54" spans="2:9" x14ac:dyDescent="0.25">
      <c r="B54" s="4">
        <f t="shared" si="3"/>
        <v>5.6000000000000023</v>
      </c>
      <c r="D54" s="3">
        <f t="shared" si="4"/>
        <v>5.6000000000000022E-9</v>
      </c>
      <c r="F54" s="4">
        <f t="shared" si="0"/>
        <v>0.12223013706850099</v>
      </c>
      <c r="G54" s="4">
        <f t="shared" si="1"/>
        <v>-0.6950338701421267</v>
      </c>
      <c r="H54" s="4">
        <f t="shared" si="6"/>
        <v>0</v>
      </c>
      <c r="I54" s="4">
        <f t="shared" si="5"/>
        <v>-0.57280373307362575</v>
      </c>
    </row>
    <row r="55" spans="2:9" x14ac:dyDescent="0.25">
      <c r="B55" s="4">
        <f t="shared" si="3"/>
        <v>5.8000000000000025</v>
      </c>
      <c r="D55" s="3">
        <f t="shared" si="4"/>
        <v>5.8000000000000023E-9</v>
      </c>
      <c r="F55" s="4">
        <f t="shared" si="0"/>
        <v>9.9913313684431362E-2</v>
      </c>
      <c r="G55" s="4">
        <f t="shared" si="1"/>
        <v>-0.67106718496481188</v>
      </c>
      <c r="H55" s="4">
        <f t="shared" si="6"/>
        <v>0</v>
      </c>
      <c r="I55" s="4">
        <f t="shared" si="5"/>
        <v>-0.57115387128038053</v>
      </c>
    </row>
    <row r="56" spans="2:9" x14ac:dyDescent="0.25">
      <c r="B56" s="4">
        <f t="shared" si="3"/>
        <v>6.0000000000000027</v>
      </c>
      <c r="D56" s="3">
        <f t="shared" si="4"/>
        <v>6.0000000000000024E-9</v>
      </c>
      <c r="F56" s="4">
        <f t="shared" si="0"/>
        <v>8.1666343527047117E-2</v>
      </c>
      <c r="G56" s="4">
        <f t="shared" si="1"/>
        <v>-0.64869827879931818</v>
      </c>
      <c r="H56" s="4">
        <f t="shared" si="6"/>
        <v>0</v>
      </c>
      <c r="I56" s="4">
        <f t="shared" si="5"/>
        <v>-0.56703193527227103</v>
      </c>
    </row>
    <row r="57" spans="2:9" x14ac:dyDescent="0.25">
      <c r="B57" s="4">
        <f t="shared" si="3"/>
        <v>6.2000000000000028</v>
      </c>
      <c r="D57" s="3">
        <f t="shared" si="4"/>
        <v>6.2000000000000026E-9</v>
      </c>
      <c r="F57" s="4">
        <f t="shared" si="0"/>
        <v>6.6748598974213688E-2</v>
      </c>
      <c r="G57" s="4">
        <f t="shared" si="1"/>
        <v>-0.62777252787030802</v>
      </c>
      <c r="H57" s="4">
        <f t="shared" si="6"/>
        <v>0</v>
      </c>
      <c r="I57" s="4">
        <f t="shared" si="5"/>
        <v>-0.56102392889609431</v>
      </c>
    </row>
    <row r="58" spans="2:9" x14ac:dyDescent="0.25">
      <c r="B58" s="4">
        <f t="shared" si="3"/>
        <v>6.400000000000003</v>
      </c>
      <c r="D58" s="3">
        <f t="shared" si="4"/>
        <v>6.4000000000000027E-9</v>
      </c>
      <c r="F58" s="4">
        <f t="shared" si="0"/>
        <v>5.4553706917580547E-2</v>
      </c>
      <c r="G58" s="4">
        <f t="shared" si="1"/>
        <v>-0.60815463637436085</v>
      </c>
      <c r="H58" s="4">
        <f t="shared" si="6"/>
        <v>0</v>
      </c>
      <c r="I58" s="4">
        <f t="shared" si="5"/>
        <v>-0.5536009294567803</v>
      </c>
    </row>
    <row r="59" spans="2:9" x14ac:dyDescent="0.25">
      <c r="B59" s="4">
        <f t="shared" si="3"/>
        <v>6.6000000000000032</v>
      </c>
      <c r="D59" s="3">
        <f t="shared" si="4"/>
        <v>6.6000000000000029E-9</v>
      </c>
      <c r="F59" s="4">
        <f t="shared" ref="F59:F76" si="7">2*PI()*e0*ε*radius*Surface_Potential^2*LN(1+EXP(-D59/k_1))/(kB*T)</f>
        <v>4.4585386318221745E-2</v>
      </c>
      <c r="G59" s="4">
        <f t="shared" ref="G59:G76" si="8">-Hamaker*radius/(12*D59*kB*T)</f>
        <v>-0.58972570799938018</v>
      </c>
      <c r="H59" s="4">
        <f t="shared" si="6"/>
        <v>0</v>
      </c>
      <c r="I59" s="4">
        <f t="shared" si="5"/>
        <v>-0.54514032168115845</v>
      </c>
    </row>
    <row r="60" spans="2:9" x14ac:dyDescent="0.25">
      <c r="B60" s="4">
        <f t="shared" ref="B60:B76" si="9">B59+Scale_h/50</f>
        <v>6.8000000000000034</v>
      </c>
      <c r="D60" s="3">
        <f t="shared" si="4"/>
        <v>6.800000000000003E-9</v>
      </c>
      <c r="F60" s="4">
        <f t="shared" si="7"/>
        <v>3.6437576489772042E-2</v>
      </c>
      <c r="G60" s="4">
        <f t="shared" si="8"/>
        <v>-0.57238083423469244</v>
      </c>
      <c r="H60" s="4">
        <f t="shared" si="6"/>
        <v>0</v>
      </c>
      <c r="I60" s="4">
        <f t="shared" si="5"/>
        <v>-0.53594325774492035</v>
      </c>
    </row>
    <row r="61" spans="2:9" x14ac:dyDescent="0.25">
      <c r="B61" s="4">
        <f t="shared" si="9"/>
        <v>7.0000000000000036</v>
      </c>
      <c r="D61" s="3">
        <f t="shared" si="4"/>
        <v>7.000000000000004E-9</v>
      </c>
      <c r="F61" s="4">
        <f t="shared" si="7"/>
        <v>2.9778113522554508E-2</v>
      </c>
      <c r="G61" s="4">
        <f t="shared" si="8"/>
        <v>-0.55602709611370127</v>
      </c>
      <c r="H61" s="4">
        <f t="shared" si="6"/>
        <v>0</v>
      </c>
      <c r="I61" s="4">
        <f t="shared" si="5"/>
        <v>-0.52624898259114672</v>
      </c>
    </row>
    <row r="62" spans="2:9" x14ac:dyDescent="0.25">
      <c r="B62" s="4">
        <f t="shared" si="9"/>
        <v>7.2000000000000037</v>
      </c>
      <c r="D62" s="3">
        <f t="shared" si="4"/>
        <v>7.2000000000000041E-9</v>
      </c>
      <c r="F62" s="4">
        <f t="shared" si="7"/>
        <v>2.4335334247255185E-2</v>
      </c>
      <c r="G62" s="4">
        <f t="shared" si="8"/>
        <v>-0.54058189899943176</v>
      </c>
      <c r="H62" s="4">
        <f t="shared" si="6"/>
        <v>0</v>
      </c>
      <c r="I62" s="4">
        <f t="shared" si="5"/>
        <v>-0.51624656475217656</v>
      </c>
    </row>
    <row r="63" spans="2:9" x14ac:dyDescent="0.25">
      <c r="B63" s="4">
        <f t="shared" si="9"/>
        <v>7.4000000000000039</v>
      </c>
      <c r="D63" s="3">
        <f t="shared" si="4"/>
        <v>7.4000000000000042E-9</v>
      </c>
      <c r="F63" s="4">
        <f t="shared" si="7"/>
        <v>1.9887091335129014E-2</v>
      </c>
      <c r="G63" s="4">
        <f t="shared" si="8"/>
        <v>-0.52597157740485256</v>
      </c>
      <c r="H63" s="4">
        <f t="shared" si="6"/>
        <v>0</v>
      </c>
      <c r="I63" s="4">
        <f t="shared" si="5"/>
        <v>-0.50608448606972356</v>
      </c>
    </row>
    <row r="64" spans="2:9" x14ac:dyDescent="0.25">
      <c r="B64" s="4">
        <f t="shared" si="9"/>
        <v>7.6000000000000041</v>
      </c>
      <c r="D64" s="3">
        <f t="shared" si="4"/>
        <v>7.6000000000000035E-9</v>
      </c>
      <c r="F64" s="4">
        <f t="shared" si="7"/>
        <v>1.6251751324263923E-2</v>
      </c>
      <c r="G64" s="4">
        <f t="shared" si="8"/>
        <v>-0.51213022010472486</v>
      </c>
      <c r="H64" s="4">
        <f t="shared" si="6"/>
        <v>0</v>
      </c>
      <c r="I64" s="4">
        <f t="shared" si="5"/>
        <v>-0.49587846878046093</v>
      </c>
    </row>
    <row r="65" spans="2:9" x14ac:dyDescent="0.25">
      <c r="B65" s="4">
        <f t="shared" si="9"/>
        <v>7.8000000000000043</v>
      </c>
      <c r="D65" s="3">
        <f t="shared" si="4"/>
        <v>7.8000000000000037E-9</v>
      </c>
      <c r="F65" s="4">
        <f t="shared" si="7"/>
        <v>1.3280821477748962E-2</v>
      </c>
      <c r="G65" s="4">
        <f t="shared" si="8"/>
        <v>-0.49899867599947551</v>
      </c>
      <c r="H65" s="4">
        <f t="shared" si="6"/>
        <v>0</v>
      </c>
      <c r="I65" s="4">
        <f t="shared" si="5"/>
        <v>-0.48571785452172656</v>
      </c>
    </row>
    <row r="66" spans="2:9" x14ac:dyDescent="0.25">
      <c r="B66" s="4">
        <f t="shared" si="9"/>
        <v>8.0000000000000036</v>
      </c>
      <c r="D66" s="3">
        <f t="shared" si="4"/>
        <v>8.0000000000000038E-9</v>
      </c>
      <c r="F66" s="4">
        <f t="shared" si="7"/>
        <v>1.0852913322726639E-2</v>
      </c>
      <c r="G66" s="4">
        <f t="shared" si="8"/>
        <v>-0.48652370909948867</v>
      </c>
      <c r="H66" s="4">
        <f t="shared" si="6"/>
        <v>0</v>
      </c>
      <c r="I66" s="4">
        <f t="shared" si="5"/>
        <v>-0.47567079577676202</v>
      </c>
    </row>
    <row r="67" spans="2:9" x14ac:dyDescent="0.25">
      <c r="B67" s="4">
        <f t="shared" si="9"/>
        <v>8.2000000000000028</v>
      </c>
      <c r="D67" s="3">
        <f t="shared" si="4"/>
        <v>8.2000000000000023E-9</v>
      </c>
      <c r="F67" s="4">
        <f t="shared" si="7"/>
        <v>8.8688022604323912E-3</v>
      </c>
      <c r="G67" s="4">
        <f t="shared" si="8"/>
        <v>-0.47465727717023287</v>
      </c>
      <c r="H67" s="4">
        <f t="shared" si="6"/>
        <v>0</v>
      </c>
      <c r="I67" s="4">
        <f t="shared" si="5"/>
        <v>-0.46578847490980047</v>
      </c>
    </row>
    <row r="68" spans="2:9" x14ac:dyDescent="0.25">
      <c r="B68" s="4">
        <f t="shared" si="9"/>
        <v>8.4000000000000021</v>
      </c>
      <c r="D68" s="3">
        <f t="shared" si="4"/>
        <v>8.4000000000000024E-9</v>
      </c>
      <c r="F68" s="4">
        <f t="shared" si="7"/>
        <v>7.2473853753596672E-3</v>
      </c>
      <c r="G68" s="4">
        <f t="shared" si="8"/>
        <v>-0.46335591342808458</v>
      </c>
      <c r="H68" s="4">
        <f t="shared" si="6"/>
        <v>0</v>
      </c>
      <c r="I68" s="4">
        <f t="shared" si="5"/>
        <v>-0.45610852805272489</v>
      </c>
    </row>
    <row r="69" spans="2:9" x14ac:dyDescent="0.25">
      <c r="B69" s="4">
        <f t="shared" si="9"/>
        <v>8.6000000000000014</v>
      </c>
      <c r="D69" s="3">
        <f t="shared" si="4"/>
        <v>8.6000000000000009E-9</v>
      </c>
      <c r="F69" s="4">
        <f t="shared" si="7"/>
        <v>5.9223749104321882E-3</v>
      </c>
      <c r="G69" s="4">
        <f t="shared" si="8"/>
        <v>-0.45258019451115233</v>
      </c>
      <c r="H69" s="4">
        <f t="shared" si="6"/>
        <v>0</v>
      </c>
      <c r="I69" s="4">
        <f t="shared" si="5"/>
        <v>-0.44665781960072015</v>
      </c>
    </row>
    <row r="70" spans="2:9" x14ac:dyDescent="0.25">
      <c r="B70" s="4">
        <f t="shared" si="9"/>
        <v>8.8000000000000007</v>
      </c>
      <c r="D70" s="3">
        <f t="shared" si="4"/>
        <v>8.800000000000001E-9</v>
      </c>
      <c r="F70" s="4">
        <f t="shared" si="7"/>
        <v>4.8395940309686374E-3</v>
      </c>
      <c r="G70" s="4">
        <f t="shared" si="8"/>
        <v>-0.44229428099953522</v>
      </c>
      <c r="H70" s="4">
        <f t="shared" si="6"/>
        <v>0</v>
      </c>
      <c r="I70" s="4">
        <f t="shared" si="5"/>
        <v>-0.4374546869685666</v>
      </c>
    </row>
    <row r="71" spans="2:9" x14ac:dyDescent="0.25">
      <c r="B71" s="4">
        <f t="shared" si="9"/>
        <v>9</v>
      </c>
      <c r="D71" s="3">
        <f t="shared" si="4"/>
        <v>8.9999999999999995E-9</v>
      </c>
      <c r="F71" s="4">
        <f t="shared" si="7"/>
        <v>3.9547655111351141E-3</v>
      </c>
      <c r="G71" s="4">
        <f t="shared" si="8"/>
        <v>-0.43246551919954573</v>
      </c>
      <c r="H71" s="4">
        <f t="shared" si="6"/>
        <v>0</v>
      </c>
      <c r="I71" s="4">
        <f t="shared" si="5"/>
        <v>-0.42851075368841063</v>
      </c>
    </row>
    <row r="72" spans="2:9" x14ac:dyDescent="0.25">
      <c r="B72" s="4">
        <f t="shared" si="9"/>
        <v>9.1999999999999993</v>
      </c>
      <c r="D72" s="3">
        <f t="shared" si="4"/>
        <v>9.1999999999999997E-9</v>
      </c>
      <c r="F72" s="4">
        <f t="shared" si="7"/>
        <v>3.2317037222802337E-3</v>
      </c>
      <c r="G72" s="4">
        <f t="shared" si="8"/>
        <v>-0.42306409486912072</v>
      </c>
      <c r="H72" s="4">
        <f t="shared" si="6"/>
        <v>0</v>
      </c>
      <c r="I72" s="4">
        <f t="shared" si="5"/>
        <v>-0.41983239114684051</v>
      </c>
    </row>
    <row r="73" spans="2:9" x14ac:dyDescent="0.25">
      <c r="B73" s="4">
        <f t="shared" si="9"/>
        <v>9.3999999999999986</v>
      </c>
      <c r="D73" s="3">
        <f t="shared" si="4"/>
        <v>9.3999999999999981E-9</v>
      </c>
      <c r="F73" s="4">
        <f t="shared" si="7"/>
        <v>2.6408365206984992E-3</v>
      </c>
      <c r="G73" s="4">
        <f t="shared" si="8"/>
        <v>-0.41406273114850123</v>
      </c>
      <c r="H73" s="4">
        <f t="shared" si="6"/>
        <v>0</v>
      </c>
      <c r="I73" s="4">
        <f t="shared" si="5"/>
        <v>-0.41142189462780271</v>
      </c>
    </row>
    <row r="74" spans="2:9" x14ac:dyDescent="0.25">
      <c r="B74" s="4">
        <f t="shared" si="9"/>
        <v>9.5999999999999979</v>
      </c>
      <c r="D74" s="3">
        <f t="shared" si="4"/>
        <v>9.5999999999999983E-9</v>
      </c>
      <c r="F74" s="4">
        <f t="shared" si="7"/>
        <v>2.1579969415315295E-3</v>
      </c>
      <c r="G74" s="4">
        <f t="shared" si="8"/>
        <v>-0.40543642424957416</v>
      </c>
      <c r="H74" s="4">
        <f t="shared" si="6"/>
        <v>0</v>
      </c>
      <c r="I74" s="4">
        <f t="shared" si="5"/>
        <v>-0.40327842730804264</v>
      </c>
    </row>
    <row r="75" spans="2:9" x14ac:dyDescent="0.25">
      <c r="B75" s="4">
        <f t="shared" si="9"/>
        <v>9.7999999999999972</v>
      </c>
      <c r="D75" s="3">
        <f t="shared" si="4"/>
        <v>9.7999999999999968E-9</v>
      </c>
      <c r="F75" s="4">
        <f t="shared" si="7"/>
        <v>1.7634355176927355E-3</v>
      </c>
      <c r="G75" s="4">
        <f t="shared" si="8"/>
        <v>-0.39716221150978692</v>
      </c>
      <c r="H75" s="4">
        <f t="shared" si="6"/>
        <v>0</v>
      </c>
      <c r="I75" s="4">
        <f t="shared" si="5"/>
        <v>-0.39539877599209416</v>
      </c>
    </row>
    <row r="76" spans="2:9" x14ac:dyDescent="0.25">
      <c r="B76" s="4">
        <f t="shared" si="9"/>
        <v>9.9999999999999964</v>
      </c>
      <c r="D76" s="3">
        <f t="shared" si="4"/>
        <v>9.9999999999999969E-9</v>
      </c>
      <c r="F76" s="4">
        <f t="shared" si="7"/>
        <v>1.4410129853336213E-3</v>
      </c>
      <c r="G76" s="4">
        <f t="shared" si="8"/>
        <v>-0.38921896727959127</v>
      </c>
      <c r="H76" s="4">
        <f t="shared" si="6"/>
        <v>0</v>
      </c>
      <c r="I76" s="4">
        <f t="shared" si="5"/>
        <v>-0.38777795429425765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F12" sqref="F12"/>
    </sheetView>
  </sheetViews>
  <sheetFormatPr defaultRowHeight="15" x14ac:dyDescent="0.25"/>
  <sheetData>
    <row r="1" spans="2:10" x14ac:dyDescent="0.25">
      <c r="C1" s="14" t="s">
        <v>445</v>
      </c>
    </row>
    <row r="3" spans="2:10" x14ac:dyDescent="0.25">
      <c r="B3" t="s">
        <v>446</v>
      </c>
      <c r="D3" t="s">
        <v>447</v>
      </c>
      <c r="E3" t="s">
        <v>448</v>
      </c>
      <c r="F3" t="s">
        <v>276</v>
      </c>
      <c r="G3" t="s">
        <v>449</v>
      </c>
      <c r="H3" t="s">
        <v>450</v>
      </c>
      <c r="I3" t="s">
        <v>479</v>
      </c>
      <c r="J3" t="s">
        <v>478</v>
      </c>
    </row>
    <row r="4" spans="2:10" x14ac:dyDescent="0.25">
      <c r="B4" t="s">
        <v>451</v>
      </c>
      <c r="D4" s="2">
        <v>50</v>
      </c>
      <c r="E4">
        <f>D4*100/D10</f>
        <v>41.666666666666664</v>
      </c>
      <c r="F4">
        <f>D4/D14</f>
        <v>18.867924528301888</v>
      </c>
      <c r="G4">
        <f>F4*100/F10</f>
        <v>23.252007471452508</v>
      </c>
      <c r="H4">
        <f t="shared" ref="H4:H9" si="0">G4/100</f>
        <v>0.23252007471452507</v>
      </c>
      <c r="I4">
        <f>E14</f>
        <v>1.458</v>
      </c>
      <c r="J4">
        <f t="shared" ref="J4:J9" si="1">H4*I4</f>
        <v>0.33901426893377756</v>
      </c>
    </row>
    <row r="5" spans="2:10" x14ac:dyDescent="0.25">
      <c r="B5" t="s">
        <v>452</v>
      </c>
      <c r="D5" s="2"/>
      <c r="E5">
        <f>D5*100/D10</f>
        <v>0</v>
      </c>
      <c r="G5">
        <f>F5*100/F10</f>
        <v>0</v>
      </c>
      <c r="H5">
        <f t="shared" si="0"/>
        <v>0</v>
      </c>
      <c r="J5">
        <f t="shared" si="1"/>
        <v>0</v>
      </c>
    </row>
    <row r="6" spans="2:10" x14ac:dyDescent="0.25">
      <c r="B6" t="s">
        <v>453</v>
      </c>
      <c r="D6" s="2">
        <v>17</v>
      </c>
      <c r="E6">
        <f>D6*100/D10</f>
        <v>14.166666666666666</v>
      </c>
      <c r="F6">
        <f>D6/H17</f>
        <v>16.19047619047619</v>
      </c>
      <c r="G6">
        <f>F6*100/F10</f>
        <v>19.952436887408293</v>
      </c>
      <c r="H6">
        <f t="shared" si="0"/>
        <v>0.19952436887408292</v>
      </c>
      <c r="I6">
        <f>I14</f>
        <v>1.49</v>
      </c>
      <c r="J6">
        <f t="shared" si="1"/>
        <v>0.29729130962238354</v>
      </c>
    </row>
    <row r="7" spans="2:10" x14ac:dyDescent="0.25">
      <c r="B7" t="s">
        <v>454</v>
      </c>
      <c r="D7" s="2">
        <v>53</v>
      </c>
      <c r="E7">
        <f>D7*100/D10</f>
        <v>44.166666666666664</v>
      </c>
      <c r="F7">
        <f>D7/H19</f>
        <v>46.086956521739133</v>
      </c>
      <c r="G7">
        <f>F7*100/F10</f>
        <v>56.79555564113921</v>
      </c>
      <c r="H7">
        <f t="shared" si="0"/>
        <v>0.56795555641139206</v>
      </c>
      <c r="I7">
        <f>I15</f>
        <v>1.5</v>
      </c>
      <c r="J7">
        <f t="shared" si="1"/>
        <v>0.85193333461708809</v>
      </c>
    </row>
    <row r="8" spans="2:10" x14ac:dyDescent="0.25">
      <c r="B8" t="s">
        <v>455</v>
      </c>
      <c r="D8" s="2"/>
      <c r="E8">
        <f>D8*100/D10</f>
        <v>0</v>
      </c>
      <c r="G8">
        <f>F8*100/F10</f>
        <v>0</v>
      </c>
      <c r="H8">
        <f t="shared" si="0"/>
        <v>0</v>
      </c>
      <c r="J8">
        <f t="shared" si="1"/>
        <v>0</v>
      </c>
    </row>
    <row r="9" spans="2:10" x14ac:dyDescent="0.25">
      <c r="B9" t="s">
        <v>456</v>
      </c>
      <c r="D9" s="2"/>
      <c r="E9">
        <f>D9*100/D10</f>
        <v>0</v>
      </c>
      <c r="G9">
        <f>F9*100/F10</f>
        <v>0</v>
      </c>
      <c r="H9">
        <f t="shared" si="0"/>
        <v>0</v>
      </c>
      <c r="J9">
        <f t="shared" si="1"/>
        <v>0</v>
      </c>
    </row>
    <row r="10" spans="2:10" x14ac:dyDescent="0.25">
      <c r="B10" s="21" t="s">
        <v>224</v>
      </c>
      <c r="C10" s="21"/>
      <c r="D10" s="21">
        <f>SUM(D4:D9)</f>
        <v>120</v>
      </c>
      <c r="E10" s="21">
        <f>SUM(E4:E9)</f>
        <v>100</v>
      </c>
      <c r="F10" s="21">
        <f>SUM(F4:F9)</f>
        <v>81.1453572405172</v>
      </c>
      <c r="G10" s="21">
        <f>SUM(G4:G9)</f>
        <v>100</v>
      </c>
      <c r="I10" t="s">
        <v>479</v>
      </c>
      <c r="J10" s="21">
        <f>SUM(J4:J9)</f>
        <v>1.4882389131732492</v>
      </c>
    </row>
    <row r="12" spans="2:10" ht="15.75" thickBot="1" x14ac:dyDescent="0.3"/>
    <row r="13" spans="2:10" ht="15.75" thickBot="1" x14ac:dyDescent="0.3">
      <c r="B13" s="22" t="s">
        <v>457</v>
      </c>
      <c r="C13" s="23"/>
      <c r="D13" s="22" t="s">
        <v>276</v>
      </c>
      <c r="E13" s="24" t="s">
        <v>479</v>
      </c>
      <c r="G13" s="22" t="s">
        <v>458</v>
      </c>
      <c r="H13" s="24" t="s">
        <v>276</v>
      </c>
      <c r="I13" s="25" t="s">
        <v>479</v>
      </c>
    </row>
    <row r="14" spans="2:10" x14ac:dyDescent="0.25">
      <c r="B14" s="26" t="s">
        <v>459</v>
      </c>
      <c r="C14" s="27"/>
      <c r="D14" s="28">
        <v>2.65</v>
      </c>
      <c r="E14" s="36">
        <v>1.458</v>
      </c>
      <c r="G14" s="29">
        <v>1</v>
      </c>
      <c r="H14" s="30">
        <v>0.9</v>
      </c>
      <c r="I14" s="40">
        <v>1.49</v>
      </c>
    </row>
    <row r="15" spans="2:10" x14ac:dyDescent="0.25">
      <c r="B15" s="29" t="s">
        <v>460</v>
      </c>
      <c r="C15" s="31"/>
      <c r="D15" s="30">
        <v>4.05</v>
      </c>
      <c r="E15" s="37">
        <v>1.726</v>
      </c>
      <c r="G15" s="29">
        <v>2</v>
      </c>
      <c r="H15" s="30">
        <v>0.95</v>
      </c>
      <c r="I15" s="40">
        <v>1.5</v>
      </c>
    </row>
    <row r="16" spans="2:10" x14ac:dyDescent="0.25">
      <c r="B16" s="29" t="s">
        <v>461</v>
      </c>
      <c r="C16" s="31"/>
      <c r="D16" s="30">
        <v>5.61</v>
      </c>
      <c r="E16" s="37">
        <v>2.004</v>
      </c>
      <c r="G16" s="29">
        <v>3</v>
      </c>
      <c r="H16" s="30">
        <v>1</v>
      </c>
      <c r="I16" s="40">
        <v>1.51</v>
      </c>
    </row>
    <row r="17" spans="2:9" x14ac:dyDescent="0.25">
      <c r="B17" s="29" t="s">
        <v>462</v>
      </c>
      <c r="C17" s="31"/>
      <c r="D17" s="30"/>
      <c r="E17" s="37"/>
      <c r="G17" s="29">
        <v>4</v>
      </c>
      <c r="H17" s="30">
        <v>1.05</v>
      </c>
      <c r="I17" s="40">
        <v>1.52</v>
      </c>
    </row>
    <row r="18" spans="2:9" x14ac:dyDescent="0.25">
      <c r="B18" s="32" t="s">
        <v>463</v>
      </c>
      <c r="D18" s="30">
        <v>4.2300000000000004</v>
      </c>
      <c r="E18" s="38">
        <v>2.488</v>
      </c>
      <c r="G18" s="29">
        <v>5</v>
      </c>
      <c r="H18" s="30">
        <v>1.1000000000000001</v>
      </c>
      <c r="I18" s="40">
        <v>1.53</v>
      </c>
    </row>
    <row r="19" spans="2:9" x14ac:dyDescent="0.25">
      <c r="B19" s="32" t="s">
        <v>464</v>
      </c>
      <c r="D19" s="30">
        <v>4.2300000000000004</v>
      </c>
      <c r="E19" s="38">
        <v>2.5830000000000002</v>
      </c>
      <c r="G19" s="29">
        <v>6</v>
      </c>
      <c r="H19" s="30">
        <v>1.1499999999999999</v>
      </c>
      <c r="I19" s="40">
        <v>1.54</v>
      </c>
    </row>
    <row r="20" spans="2:9" ht="15.75" thickBot="1" x14ac:dyDescent="0.3">
      <c r="B20" s="32" t="s">
        <v>465</v>
      </c>
      <c r="D20" s="30">
        <v>4.2300000000000004</v>
      </c>
      <c r="E20" s="38">
        <v>2.609</v>
      </c>
      <c r="G20" s="33">
        <v>7</v>
      </c>
      <c r="H20" s="34">
        <v>1.2</v>
      </c>
      <c r="I20" s="39">
        <v>1.55</v>
      </c>
    </row>
    <row r="21" spans="2:9" x14ac:dyDescent="0.25">
      <c r="B21" s="29" t="s">
        <v>466</v>
      </c>
      <c r="C21" s="31"/>
      <c r="D21" s="30">
        <v>7.65</v>
      </c>
      <c r="E21" s="37">
        <v>1.9</v>
      </c>
    </row>
    <row r="22" spans="2:9" x14ac:dyDescent="0.25">
      <c r="B22" s="29" t="s">
        <v>467</v>
      </c>
      <c r="C22" s="31"/>
      <c r="D22" s="30">
        <v>5.24</v>
      </c>
      <c r="E22" s="37"/>
    </row>
    <row r="23" spans="2:9" x14ac:dyDescent="0.25">
      <c r="B23" s="29" t="s">
        <v>468</v>
      </c>
      <c r="C23" s="31"/>
      <c r="D23" s="30">
        <v>6.95</v>
      </c>
      <c r="E23" s="37">
        <v>2.0059999999999998</v>
      </c>
    </row>
    <row r="24" spans="2:9" x14ac:dyDescent="0.25">
      <c r="B24" s="29" t="s">
        <v>469</v>
      </c>
      <c r="C24" s="31"/>
      <c r="D24" s="30">
        <v>8.9</v>
      </c>
      <c r="E24" s="38">
        <v>2.4</v>
      </c>
    </row>
    <row r="25" spans="2:9" ht="15.75" thickBot="1" x14ac:dyDescent="0.3">
      <c r="B25" s="33" t="s">
        <v>470</v>
      </c>
      <c r="C25" s="35"/>
      <c r="D25" s="34">
        <v>7.14</v>
      </c>
      <c r="E25" s="39">
        <v>1.764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C1" sqref="C1"/>
    </sheetView>
  </sheetViews>
  <sheetFormatPr defaultRowHeight="15" x14ac:dyDescent="0.25"/>
  <sheetData>
    <row r="1" spans="2:16" x14ac:dyDescent="0.25">
      <c r="C1" s="14" t="s">
        <v>471</v>
      </c>
    </row>
    <row r="3" spans="2:16" x14ac:dyDescent="0.25">
      <c r="B3" t="s">
        <v>446</v>
      </c>
      <c r="D3" t="s">
        <v>447</v>
      </c>
      <c r="E3" t="s">
        <v>448</v>
      </c>
      <c r="F3" t="s">
        <v>276</v>
      </c>
      <c r="G3" t="s">
        <v>449</v>
      </c>
      <c r="H3" t="s">
        <v>450</v>
      </c>
      <c r="I3" t="s">
        <v>479</v>
      </c>
      <c r="J3" t="s">
        <v>472</v>
      </c>
      <c r="K3" t="s">
        <v>473</v>
      </c>
      <c r="L3" t="s">
        <v>474</v>
      </c>
      <c r="M3" t="s">
        <v>475</v>
      </c>
    </row>
    <row r="4" spans="2:16" x14ac:dyDescent="0.25">
      <c r="B4" t="s">
        <v>451</v>
      </c>
      <c r="D4" s="2">
        <v>50</v>
      </c>
      <c r="E4">
        <f>D4*100/D10</f>
        <v>41.666666666666664</v>
      </c>
      <c r="F4">
        <f>D4/D14</f>
        <v>18.867924528301888</v>
      </c>
      <c r="G4">
        <f>F4*100/F10</f>
        <v>23.252007471452508</v>
      </c>
      <c r="H4">
        <f t="shared" ref="H4:H9" si="0">G4/100</f>
        <v>0.23252007471452507</v>
      </c>
      <c r="I4">
        <f>E14</f>
        <v>1.458</v>
      </c>
      <c r="J4">
        <f>(I4^2)-1</f>
        <v>1.1257639999999998</v>
      </c>
      <c r="K4">
        <f>(I4^2)+2</f>
        <v>4.1257640000000002</v>
      </c>
      <c r="L4">
        <f>J4/K4</f>
        <v>0.27286194750838866</v>
      </c>
      <c r="M4">
        <f>L4*H4</f>
        <v>6.3445880421401354E-2</v>
      </c>
    </row>
    <row r="5" spans="2:16" x14ac:dyDescent="0.25">
      <c r="B5" t="s">
        <v>452</v>
      </c>
      <c r="D5" s="2"/>
      <c r="E5">
        <f>D5*100/D10</f>
        <v>0</v>
      </c>
      <c r="G5">
        <f>F5*100/F10</f>
        <v>0</v>
      </c>
      <c r="H5">
        <f t="shared" si="0"/>
        <v>0</v>
      </c>
    </row>
    <row r="6" spans="2:16" x14ac:dyDescent="0.25">
      <c r="B6" t="s">
        <v>453</v>
      </c>
      <c r="D6" s="2">
        <v>17</v>
      </c>
      <c r="E6">
        <f>D6*100/D10</f>
        <v>14.166666666666666</v>
      </c>
      <c r="F6">
        <f>D6/H17</f>
        <v>16.19047619047619</v>
      </c>
      <c r="G6">
        <f>F6*100/F10</f>
        <v>19.952436887408293</v>
      </c>
      <c r="H6">
        <f t="shared" si="0"/>
        <v>0.19952436887408292</v>
      </c>
      <c r="I6">
        <f>I17</f>
        <v>1.52</v>
      </c>
      <c r="J6">
        <f>(I6^2)-1</f>
        <v>1.3104</v>
      </c>
      <c r="K6">
        <f>(I6^2)+2</f>
        <v>4.3103999999999996</v>
      </c>
      <c r="L6">
        <f>J6/K6</f>
        <v>0.30400890868596886</v>
      </c>
      <c r="M6">
        <f>L6*H6</f>
        <v>6.0657185637666644E-2</v>
      </c>
    </row>
    <row r="7" spans="2:16" x14ac:dyDescent="0.25">
      <c r="B7" t="s">
        <v>454</v>
      </c>
      <c r="D7" s="2">
        <v>53</v>
      </c>
      <c r="E7">
        <f>D7*100/D10</f>
        <v>44.166666666666664</v>
      </c>
      <c r="F7">
        <f>D7/H19</f>
        <v>46.086956521739133</v>
      </c>
      <c r="G7">
        <f>F7*100/F10</f>
        <v>56.79555564113921</v>
      </c>
      <c r="H7">
        <f t="shared" si="0"/>
        <v>0.56795555641139206</v>
      </c>
      <c r="I7">
        <f>I19</f>
        <v>1.54</v>
      </c>
      <c r="J7">
        <f>(I7^2)-1</f>
        <v>1.3715999999999999</v>
      </c>
      <c r="K7">
        <f>(I7^2)+2</f>
        <v>4.3715999999999999</v>
      </c>
      <c r="L7">
        <f>J7/K7</f>
        <v>0.31375240186659348</v>
      </c>
      <c r="M7">
        <f>L7*H7</f>
        <v>0.17819741997755179</v>
      </c>
    </row>
    <row r="8" spans="2:16" x14ac:dyDescent="0.25">
      <c r="B8" t="s">
        <v>455</v>
      </c>
      <c r="D8" s="2"/>
      <c r="E8">
        <f>D8*100/D10</f>
        <v>0</v>
      </c>
      <c r="G8">
        <f>F8*100/F10</f>
        <v>0</v>
      </c>
      <c r="H8">
        <f t="shared" si="0"/>
        <v>0</v>
      </c>
      <c r="O8" t="s">
        <v>482</v>
      </c>
    </row>
    <row r="9" spans="2:16" x14ac:dyDescent="0.25">
      <c r="B9" t="s">
        <v>456</v>
      </c>
      <c r="D9" s="2"/>
      <c r="E9">
        <f>D9*100/D10</f>
        <v>0</v>
      </c>
      <c r="G9">
        <f>F9*100/F10</f>
        <v>0</v>
      </c>
      <c r="H9">
        <f t="shared" si="0"/>
        <v>0</v>
      </c>
      <c r="N9" t="s">
        <v>476</v>
      </c>
      <c r="O9" t="s">
        <v>477</v>
      </c>
      <c r="P9" t="s">
        <v>481</v>
      </c>
    </row>
    <row r="10" spans="2:16" x14ac:dyDescent="0.25">
      <c r="B10" s="21" t="s">
        <v>224</v>
      </c>
      <c r="C10" s="21"/>
      <c r="D10" s="21">
        <f>SUM(D4:D9)</f>
        <v>120</v>
      </c>
      <c r="E10" s="21">
        <f>SUM(E4:E9)</f>
        <v>100</v>
      </c>
      <c r="F10" s="21">
        <f>SUM(F4:F9)</f>
        <v>81.1453572405172</v>
      </c>
      <c r="G10" s="21">
        <f>SUM(G4:G9)</f>
        <v>100</v>
      </c>
      <c r="H10" s="21">
        <f>SUM(H4:H9)</f>
        <v>1</v>
      </c>
      <c r="M10" s="21">
        <f>SUM(M4:M9)</f>
        <v>0.3023004860366198</v>
      </c>
      <c r="N10" s="21">
        <f>(2*M10+1)</f>
        <v>1.6046009720732397</v>
      </c>
      <c r="O10" s="21">
        <f>1-M10</f>
        <v>0.69769951396338015</v>
      </c>
      <c r="P10" s="21">
        <f>N10/O10</f>
        <v>2.2998453345023537</v>
      </c>
    </row>
    <row r="12" spans="2:16" ht="15.75" thickBot="1" x14ac:dyDescent="0.3">
      <c r="N12" t="s">
        <v>481</v>
      </c>
    </row>
    <row r="13" spans="2:16" ht="15.75" thickBot="1" x14ac:dyDescent="0.3">
      <c r="B13" s="22" t="s">
        <v>457</v>
      </c>
      <c r="C13" s="23"/>
      <c r="D13" s="22" t="s">
        <v>276</v>
      </c>
      <c r="E13" s="24" t="s">
        <v>479</v>
      </c>
      <c r="G13" s="22" t="s">
        <v>458</v>
      </c>
      <c r="H13" s="24" t="s">
        <v>276</v>
      </c>
      <c r="I13" s="25" t="s">
        <v>480</v>
      </c>
      <c r="M13" s="14" t="s">
        <v>479</v>
      </c>
      <c r="N13" s="14">
        <f>SQRT(P10)</f>
        <v>1.516524096248508</v>
      </c>
    </row>
    <row r="14" spans="2:16" x14ac:dyDescent="0.25">
      <c r="B14" s="26" t="s">
        <v>459</v>
      </c>
      <c r="C14" s="27"/>
      <c r="D14" s="28">
        <v>2.65</v>
      </c>
      <c r="E14" s="36">
        <v>1.458</v>
      </c>
      <c r="G14" s="29">
        <v>1</v>
      </c>
      <c r="H14" s="30">
        <v>0.9</v>
      </c>
      <c r="I14" s="40">
        <v>1.49</v>
      </c>
    </row>
    <row r="15" spans="2:16" x14ac:dyDescent="0.25">
      <c r="B15" s="29" t="s">
        <v>460</v>
      </c>
      <c r="C15" s="31"/>
      <c r="D15" s="30">
        <v>4.05</v>
      </c>
      <c r="E15" s="37">
        <v>1.726</v>
      </c>
      <c r="G15" s="29">
        <v>2</v>
      </c>
      <c r="H15" s="30">
        <v>0.95</v>
      </c>
      <c r="I15" s="40">
        <v>1.5</v>
      </c>
    </row>
    <row r="16" spans="2:16" x14ac:dyDescent="0.25">
      <c r="B16" s="29" t="s">
        <v>461</v>
      </c>
      <c r="C16" s="31"/>
      <c r="D16" s="30">
        <v>5.61</v>
      </c>
      <c r="E16" s="37">
        <v>2.004</v>
      </c>
      <c r="G16" s="29">
        <v>3</v>
      </c>
      <c r="H16" s="30">
        <v>1</v>
      </c>
      <c r="I16" s="40">
        <v>1.51</v>
      </c>
    </row>
    <row r="17" spans="2:9" x14ac:dyDescent="0.25">
      <c r="B17" s="29" t="s">
        <v>462</v>
      </c>
      <c r="C17" s="31"/>
      <c r="D17" s="30"/>
      <c r="E17" s="37"/>
      <c r="G17" s="29">
        <v>4</v>
      </c>
      <c r="H17" s="30">
        <v>1.05</v>
      </c>
      <c r="I17" s="40">
        <v>1.52</v>
      </c>
    </row>
    <row r="18" spans="2:9" x14ac:dyDescent="0.25">
      <c r="B18" s="32" t="s">
        <v>463</v>
      </c>
      <c r="D18" s="30">
        <v>4.2300000000000004</v>
      </c>
      <c r="E18" s="38">
        <v>2.488</v>
      </c>
      <c r="G18" s="29">
        <v>5</v>
      </c>
      <c r="H18" s="30">
        <v>1.1000000000000001</v>
      </c>
      <c r="I18" s="40">
        <v>1.53</v>
      </c>
    </row>
    <row r="19" spans="2:9" x14ac:dyDescent="0.25">
      <c r="B19" s="32" t="s">
        <v>464</v>
      </c>
      <c r="D19" s="30">
        <v>4.2300000000000004</v>
      </c>
      <c r="E19" s="38">
        <v>2.5830000000000002</v>
      </c>
      <c r="G19" s="29">
        <v>6</v>
      </c>
      <c r="H19" s="30">
        <v>1.1499999999999999</v>
      </c>
      <c r="I19" s="40">
        <v>1.54</v>
      </c>
    </row>
    <row r="20" spans="2:9" ht="15.75" thickBot="1" x14ac:dyDescent="0.3">
      <c r="B20" s="32" t="s">
        <v>465</v>
      </c>
      <c r="D20" s="30">
        <v>4.2300000000000004</v>
      </c>
      <c r="E20" s="38">
        <v>2.609</v>
      </c>
      <c r="G20" s="33">
        <v>7</v>
      </c>
      <c r="H20" s="34">
        <v>1.2</v>
      </c>
      <c r="I20" s="39">
        <v>1.55</v>
      </c>
    </row>
    <row r="21" spans="2:9" x14ac:dyDescent="0.25">
      <c r="B21" s="29" t="s">
        <v>466</v>
      </c>
      <c r="C21" s="31"/>
      <c r="D21" s="30">
        <v>7.65</v>
      </c>
      <c r="E21" s="37">
        <v>1.9</v>
      </c>
    </row>
    <row r="22" spans="2:9" x14ac:dyDescent="0.25">
      <c r="B22" s="29" t="s">
        <v>467</v>
      </c>
      <c r="C22" s="31"/>
      <c r="D22" s="30">
        <v>5.24</v>
      </c>
      <c r="E22" s="37"/>
    </row>
    <row r="23" spans="2:9" x14ac:dyDescent="0.25">
      <c r="B23" s="29" t="s">
        <v>468</v>
      </c>
      <c r="C23" s="31"/>
      <c r="D23" s="30">
        <v>6.95</v>
      </c>
      <c r="E23" s="37">
        <v>2.0059999999999998</v>
      </c>
    </row>
    <row r="24" spans="2:9" x14ac:dyDescent="0.25">
      <c r="B24" s="29" t="s">
        <v>469</v>
      </c>
      <c r="C24" s="31"/>
      <c r="D24" s="30">
        <v>8.9</v>
      </c>
      <c r="E24" s="38">
        <v>2.4</v>
      </c>
    </row>
    <row r="25" spans="2:9" ht="15.75" thickBot="1" x14ac:dyDescent="0.3">
      <c r="B25" s="33" t="s">
        <v>470</v>
      </c>
      <c r="C25" s="35"/>
      <c r="D25" s="34">
        <v>7.14</v>
      </c>
      <c r="E25" s="39">
        <v>1.764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C1" sqref="C1"/>
    </sheetView>
  </sheetViews>
  <sheetFormatPr defaultRowHeight="15" x14ac:dyDescent="0.25"/>
  <cols>
    <col min="1" max="1" width="22.140625" bestFit="1" customWidth="1"/>
    <col min="4" max="4" width="10" bestFit="1" customWidth="1"/>
  </cols>
  <sheetData>
    <row r="1" spans="1:15" x14ac:dyDescent="0.25">
      <c r="C1" s="14" t="s">
        <v>718</v>
      </c>
    </row>
    <row r="2" spans="1:15" x14ac:dyDescent="0.25">
      <c r="B2" t="s">
        <v>20</v>
      </c>
      <c r="D2" t="s">
        <v>4</v>
      </c>
    </row>
    <row r="3" spans="1:15" x14ac:dyDescent="0.25">
      <c r="A3" s="1" t="s">
        <v>2</v>
      </c>
      <c r="B3" s="2">
        <v>100</v>
      </c>
      <c r="C3" t="s">
        <v>1</v>
      </c>
      <c r="D3" s="3">
        <f>B3/1000000000</f>
        <v>9.9999999999999995E-8</v>
      </c>
      <c r="E3" t="s">
        <v>3</v>
      </c>
      <c r="K3" t="s">
        <v>640</v>
      </c>
      <c r="N3" s="2">
        <v>0.4</v>
      </c>
      <c r="O3" t="s">
        <v>1</v>
      </c>
    </row>
    <row r="4" spans="1:15" x14ac:dyDescent="0.25">
      <c r="A4" t="s">
        <v>0</v>
      </c>
      <c r="B4" s="2">
        <v>10</v>
      </c>
      <c r="C4" t="s">
        <v>1</v>
      </c>
      <c r="D4" s="3">
        <f>B4/1000000000</f>
        <v>1E-8</v>
      </c>
      <c r="E4" t="s">
        <v>3</v>
      </c>
    </row>
    <row r="5" spans="1:15" x14ac:dyDescent="0.25">
      <c r="K5" t="s">
        <v>638</v>
      </c>
      <c r="L5" t="s">
        <v>639</v>
      </c>
    </row>
    <row r="6" spans="1:15" x14ac:dyDescent="0.25">
      <c r="A6" s="1" t="s">
        <v>5</v>
      </c>
      <c r="B6" s="3">
        <f>D6*1000000000000000000</f>
        <v>125663.70614359171</v>
      </c>
      <c r="C6" t="s">
        <v>7</v>
      </c>
      <c r="D6" s="3">
        <f>4*PI()*D3^2</f>
        <v>1.2566370614359171E-13</v>
      </c>
      <c r="E6" t="s">
        <v>8</v>
      </c>
      <c r="K6">
        <v>1</v>
      </c>
      <c r="L6" s="9">
        <f>$N$3/K6</f>
        <v>0.4</v>
      </c>
    </row>
    <row r="7" spans="1:15" x14ac:dyDescent="0.25">
      <c r="A7" t="s">
        <v>6</v>
      </c>
      <c r="B7" s="3">
        <f>D7*1000000000000000000</f>
        <v>1256.6370614359173</v>
      </c>
      <c r="C7" t="s">
        <v>7</v>
      </c>
      <c r="D7" s="3">
        <f>4*PI()*D4^2</f>
        <v>1.2566370614359173E-15</v>
      </c>
      <c r="E7" t="s">
        <v>8</v>
      </c>
      <c r="K7">
        <v>2</v>
      </c>
      <c r="L7" s="9">
        <f t="shared" ref="L7:L19" si="0">$N$3/K7</f>
        <v>0.2</v>
      </c>
    </row>
    <row r="8" spans="1:15" x14ac:dyDescent="0.25">
      <c r="A8" t="s">
        <v>11</v>
      </c>
      <c r="B8">
        <f>D8</f>
        <v>99.999999999999986</v>
      </c>
      <c r="D8">
        <f>D6/D7</f>
        <v>99.999999999999986</v>
      </c>
      <c r="K8">
        <v>4</v>
      </c>
      <c r="L8" s="9">
        <f t="shared" si="0"/>
        <v>0.1</v>
      </c>
    </row>
    <row r="9" spans="1:15" x14ac:dyDescent="0.25">
      <c r="K9">
        <v>6</v>
      </c>
      <c r="L9" s="9">
        <f t="shared" si="0"/>
        <v>6.6666666666666666E-2</v>
      </c>
    </row>
    <row r="10" spans="1:15" x14ac:dyDescent="0.25">
      <c r="A10" s="1" t="s">
        <v>9</v>
      </c>
      <c r="B10" s="3">
        <f>D10*1E+27</f>
        <v>4188790.2047863896</v>
      </c>
      <c r="C10" t="s">
        <v>16</v>
      </c>
      <c r="D10" s="3">
        <f>4/3*PI()*D3^3</f>
        <v>4.1887902047863896E-21</v>
      </c>
      <c r="E10" t="s">
        <v>17</v>
      </c>
      <c r="K10">
        <v>8</v>
      </c>
      <c r="L10" s="9">
        <f t="shared" si="0"/>
        <v>0.05</v>
      </c>
    </row>
    <row r="11" spans="1:15" x14ac:dyDescent="0.25">
      <c r="A11" t="s">
        <v>10</v>
      </c>
      <c r="B11" s="3">
        <f>D11*1E+27</f>
        <v>4188.7902047863909</v>
      </c>
      <c r="C11" t="s">
        <v>16</v>
      </c>
      <c r="D11" s="3">
        <f>4/3*PI()*D4^3</f>
        <v>4.1887902047863912E-24</v>
      </c>
      <c r="E11" t="s">
        <v>17</v>
      </c>
      <c r="K11">
        <v>10</v>
      </c>
      <c r="L11" s="9">
        <f t="shared" si="0"/>
        <v>0.04</v>
      </c>
    </row>
    <row r="12" spans="1:15" x14ac:dyDescent="0.25">
      <c r="A12" t="s">
        <v>12</v>
      </c>
      <c r="B12">
        <f>D12</f>
        <v>999.99999999999966</v>
      </c>
      <c r="D12">
        <f>D10/D11</f>
        <v>999.99999999999966</v>
      </c>
      <c r="K12">
        <v>15</v>
      </c>
      <c r="L12" s="9">
        <f t="shared" si="0"/>
        <v>2.6666666666666668E-2</v>
      </c>
    </row>
    <row r="13" spans="1:15" x14ac:dyDescent="0.25">
      <c r="K13">
        <v>20</v>
      </c>
      <c r="L13" s="9">
        <f t="shared" si="0"/>
        <v>0.02</v>
      </c>
    </row>
    <row r="14" spans="1:15" x14ac:dyDescent="0.25">
      <c r="A14" t="s">
        <v>13</v>
      </c>
      <c r="B14">
        <f>D14*0.000000001</f>
        <v>3.0000000000000006E-2</v>
      </c>
      <c r="C14" t="s">
        <v>19</v>
      </c>
      <c r="D14" s="3">
        <f>D6/D10</f>
        <v>30000000.000000004</v>
      </c>
      <c r="E14" t="s">
        <v>18</v>
      </c>
      <c r="K14">
        <v>30</v>
      </c>
      <c r="L14" s="9">
        <f t="shared" si="0"/>
        <v>1.3333333333333334E-2</v>
      </c>
    </row>
    <row r="15" spans="1:15" x14ac:dyDescent="0.25">
      <c r="A15" t="s">
        <v>14</v>
      </c>
      <c r="B15">
        <f>D15*0.000000001</f>
        <v>0.30000000000000004</v>
      </c>
      <c r="C15" t="s">
        <v>19</v>
      </c>
      <c r="D15" s="3">
        <f>D7/D11</f>
        <v>300000000</v>
      </c>
      <c r="E15" t="s">
        <v>18</v>
      </c>
      <c r="K15">
        <v>40</v>
      </c>
      <c r="L15" s="9">
        <f t="shared" si="0"/>
        <v>0.01</v>
      </c>
    </row>
    <row r="16" spans="1:15" x14ac:dyDescent="0.25">
      <c r="A16" t="s">
        <v>15</v>
      </c>
      <c r="B16">
        <f>D16</f>
        <v>0.1</v>
      </c>
      <c r="D16">
        <f>D14/D15</f>
        <v>0.1</v>
      </c>
      <c r="K16">
        <v>50</v>
      </c>
      <c r="L16" s="9">
        <f t="shared" si="0"/>
        <v>8.0000000000000002E-3</v>
      </c>
    </row>
    <row r="17" spans="11:12" x14ac:dyDescent="0.25">
      <c r="K17">
        <v>75</v>
      </c>
      <c r="L17" s="9">
        <f t="shared" si="0"/>
        <v>5.333333333333334E-3</v>
      </c>
    </row>
    <row r="18" spans="11:12" x14ac:dyDescent="0.25">
      <c r="K18">
        <v>100</v>
      </c>
      <c r="L18" s="9">
        <f t="shared" si="0"/>
        <v>4.0000000000000001E-3</v>
      </c>
    </row>
    <row r="19" spans="11:12" x14ac:dyDescent="0.25">
      <c r="K19">
        <v>200</v>
      </c>
      <c r="L19" s="9">
        <f t="shared" si="0"/>
        <v>2E-3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C1" sqref="C1"/>
    </sheetView>
  </sheetViews>
  <sheetFormatPr defaultRowHeight="15" x14ac:dyDescent="0.25"/>
  <cols>
    <col min="2" max="2" width="12" bestFit="1" customWidth="1"/>
  </cols>
  <sheetData>
    <row r="1" spans="1:14" ht="18" x14ac:dyDescent="0.35">
      <c r="C1" s="14" t="s">
        <v>483</v>
      </c>
      <c r="F1" s="14" t="s">
        <v>499</v>
      </c>
      <c r="K1" s="14" t="s">
        <v>484</v>
      </c>
      <c r="L1" s="14"/>
      <c r="M1" s="14"/>
      <c r="N1" s="14" t="s">
        <v>485</v>
      </c>
    </row>
    <row r="2" spans="1:14" x14ac:dyDescent="0.25">
      <c r="H2">
        <v>9.81</v>
      </c>
      <c r="I2" t="s">
        <v>261</v>
      </c>
    </row>
    <row r="3" spans="1:14" x14ac:dyDescent="0.25">
      <c r="H3">
        <v>8.3140000000000001</v>
      </c>
      <c r="I3" t="s">
        <v>486</v>
      </c>
    </row>
    <row r="4" spans="1:14" ht="18" x14ac:dyDescent="0.35">
      <c r="A4" t="s">
        <v>501</v>
      </c>
      <c r="C4" t="s">
        <v>1</v>
      </c>
      <c r="E4" t="s">
        <v>3</v>
      </c>
      <c r="I4" t="s">
        <v>487</v>
      </c>
    </row>
    <row r="5" spans="1:14" x14ac:dyDescent="0.25">
      <c r="A5" t="s">
        <v>488</v>
      </c>
      <c r="B5" s="2">
        <v>50</v>
      </c>
      <c r="C5" t="s">
        <v>695</v>
      </c>
      <c r="D5">
        <f>B5/1000</f>
        <v>0.05</v>
      </c>
      <c r="E5" t="s">
        <v>489</v>
      </c>
      <c r="I5" s="2">
        <v>0.5</v>
      </c>
    </row>
    <row r="6" spans="1:14" ht="18" x14ac:dyDescent="0.35">
      <c r="A6" t="s">
        <v>500</v>
      </c>
      <c r="B6" s="2">
        <v>200</v>
      </c>
      <c r="C6" t="s">
        <v>342</v>
      </c>
      <c r="D6">
        <f>B6/1000000</f>
        <v>2.0000000000000001E-4</v>
      </c>
      <c r="E6" t="s">
        <v>343</v>
      </c>
      <c r="H6" t="s">
        <v>488</v>
      </c>
      <c r="I6" s="2">
        <v>50</v>
      </c>
      <c r="J6" t="s">
        <v>695</v>
      </c>
      <c r="K6">
        <f>I6/1000</f>
        <v>0.05</v>
      </c>
      <c r="L6" t="s">
        <v>489</v>
      </c>
      <c r="M6" t="s">
        <v>490</v>
      </c>
      <c r="N6" t="s">
        <v>491</v>
      </c>
    </row>
    <row r="7" spans="1:14" x14ac:dyDescent="0.25">
      <c r="A7" t="s">
        <v>310</v>
      </c>
      <c r="B7" s="2">
        <v>100</v>
      </c>
      <c r="C7" t="s">
        <v>1</v>
      </c>
      <c r="D7">
        <f>B7/1000000000</f>
        <v>9.9999999999999995E-8</v>
      </c>
      <c r="E7" t="s">
        <v>3</v>
      </c>
      <c r="H7" t="s">
        <v>492</v>
      </c>
      <c r="I7" s="11">
        <v>9.9999999999999995E-7</v>
      </c>
      <c r="J7" t="s">
        <v>493</v>
      </c>
      <c r="K7" s="3">
        <f>I7/10000</f>
        <v>9.9999999999999991E-11</v>
      </c>
      <c r="L7" t="s">
        <v>494</v>
      </c>
      <c r="M7">
        <v>0</v>
      </c>
      <c r="N7">
        <f>I11</f>
        <v>100</v>
      </c>
    </row>
    <row r="8" spans="1:14" x14ac:dyDescent="0.25">
      <c r="A8" t="s">
        <v>496</v>
      </c>
      <c r="B8" s="2">
        <v>25</v>
      </c>
      <c r="C8" t="s">
        <v>497</v>
      </c>
      <c r="D8">
        <f>273.1+B8</f>
        <v>298.10000000000002</v>
      </c>
      <c r="E8" t="s">
        <v>373</v>
      </c>
      <c r="H8" t="s">
        <v>92</v>
      </c>
      <c r="I8" s="2">
        <v>1E-4</v>
      </c>
      <c r="J8" t="s">
        <v>495</v>
      </c>
      <c r="K8">
        <f>I8</f>
        <v>1E-4</v>
      </c>
      <c r="L8" t="s">
        <v>495</v>
      </c>
      <c r="M8">
        <f>I5</f>
        <v>0.5</v>
      </c>
      <c r="N8" s="15">
        <f>1000000000*($K$11^3+8*$K$6*$K$7*$K$8*$K$9*M8*3600/(9*$H$3*$K$10))^0.3333</f>
        <v>403.8133396485976</v>
      </c>
    </row>
    <row r="9" spans="1:14" x14ac:dyDescent="0.25">
      <c r="H9" t="s">
        <v>110</v>
      </c>
      <c r="I9" s="2">
        <v>200</v>
      </c>
      <c r="J9" t="s">
        <v>342</v>
      </c>
      <c r="K9">
        <f>I9/1000000</f>
        <v>2.0000000000000001E-4</v>
      </c>
      <c r="L9" t="s">
        <v>343</v>
      </c>
      <c r="M9">
        <f t="shared" ref="M9:M31" si="0">M8+$I$5</f>
        <v>1</v>
      </c>
      <c r="N9" s="15">
        <f t="shared" ref="N9:N31" si="1">1000000000*($K$11^3+8*$K$6*$K$7*$K$8*$K$9*M9*3600/(9*$H$3*$K$10))^0.3333</f>
        <v>507.4645806137143</v>
      </c>
    </row>
    <row r="10" spans="1:14" ht="18" x14ac:dyDescent="0.35">
      <c r="A10" t="s">
        <v>502</v>
      </c>
      <c r="B10">
        <f>2*D5/D7*D6/(H3*D8)</f>
        <v>8.0697113310932364E-2</v>
      </c>
      <c r="H10" t="s">
        <v>496</v>
      </c>
      <c r="I10" s="2">
        <v>25</v>
      </c>
      <c r="J10" t="s">
        <v>497</v>
      </c>
      <c r="K10">
        <f>273.1+I10</f>
        <v>298.10000000000002</v>
      </c>
      <c r="L10" t="s">
        <v>373</v>
      </c>
      <c r="M10">
        <f t="shared" si="0"/>
        <v>1.5</v>
      </c>
      <c r="N10" s="15">
        <f t="shared" si="1"/>
        <v>580.3976569148258</v>
      </c>
    </row>
    <row r="11" spans="1:14" ht="18" x14ac:dyDescent="0.35">
      <c r="A11" t="s">
        <v>503</v>
      </c>
      <c r="B11">
        <f>EXP(B10)</f>
        <v>1.0840425047914373</v>
      </c>
      <c r="H11" t="s">
        <v>498</v>
      </c>
      <c r="I11" s="2">
        <v>100</v>
      </c>
      <c r="J11" t="s">
        <v>1</v>
      </c>
      <c r="K11">
        <f>I11/1000000000</f>
        <v>9.9999999999999995E-8</v>
      </c>
      <c r="L11" t="s">
        <v>3</v>
      </c>
      <c r="M11">
        <f t="shared" si="0"/>
        <v>2</v>
      </c>
      <c r="N11" s="15">
        <f t="shared" si="1"/>
        <v>638.5306122679367</v>
      </c>
    </row>
    <row r="12" spans="1:14" x14ac:dyDescent="0.25">
      <c r="M12">
        <f t="shared" si="0"/>
        <v>2.5</v>
      </c>
      <c r="N12" s="15">
        <f t="shared" si="1"/>
        <v>687.65421654473528</v>
      </c>
    </row>
    <row r="13" spans="1:14" ht="18" x14ac:dyDescent="0.35">
      <c r="B13" t="s">
        <v>1</v>
      </c>
      <c r="C13" t="s">
        <v>503</v>
      </c>
      <c r="M13">
        <f t="shared" si="0"/>
        <v>3</v>
      </c>
      <c r="N13" s="15">
        <f t="shared" si="1"/>
        <v>730.61181614326313</v>
      </c>
    </row>
    <row r="14" spans="1:14" x14ac:dyDescent="0.25">
      <c r="B14">
        <v>1</v>
      </c>
      <c r="C14">
        <f>EXP(2*$D$5/(B14*0.000000001)*$D$6/($H$3*$D$8))</f>
        <v>3196.1790583815482</v>
      </c>
      <c r="M14">
        <f t="shared" si="0"/>
        <v>3.5</v>
      </c>
      <c r="N14" s="15">
        <f t="shared" si="1"/>
        <v>769.03622775818508</v>
      </c>
    </row>
    <row r="15" spans="1:14" x14ac:dyDescent="0.25">
      <c r="B15">
        <v>2</v>
      </c>
      <c r="C15">
        <f t="shared" ref="C15:C35" si="2">EXP(2*$D$5/(B15*0.000000001)*$D$6/($H$3*$D$8))</f>
        <v>56.534759735772717</v>
      </c>
      <c r="M15">
        <f t="shared" si="0"/>
        <v>4</v>
      </c>
      <c r="N15" s="15">
        <f t="shared" si="1"/>
        <v>803.96206831465054</v>
      </c>
    </row>
    <row r="16" spans="1:14" x14ac:dyDescent="0.25">
      <c r="B16">
        <v>5</v>
      </c>
      <c r="C16">
        <f t="shared" si="2"/>
        <v>5.022572568174235</v>
      </c>
      <c r="M16">
        <f t="shared" si="0"/>
        <v>4.5</v>
      </c>
      <c r="N16" s="15">
        <f t="shared" si="1"/>
        <v>836.0911181391823</v>
      </c>
    </row>
    <row r="17" spans="2:14" x14ac:dyDescent="0.25">
      <c r="B17">
        <v>10</v>
      </c>
      <c r="C17">
        <f t="shared" si="2"/>
        <v>2.2411096733926779</v>
      </c>
      <c r="M17">
        <f t="shared" si="0"/>
        <v>5</v>
      </c>
      <c r="N17" s="15">
        <f t="shared" si="1"/>
        <v>865.92386494779282</v>
      </c>
    </row>
    <row r="18" spans="2:14" x14ac:dyDescent="0.25">
      <c r="B18">
        <v>15</v>
      </c>
      <c r="C18">
        <f t="shared" si="2"/>
        <v>1.7125453206311883</v>
      </c>
      <c r="M18">
        <f t="shared" si="0"/>
        <v>5.5</v>
      </c>
      <c r="N18" s="15">
        <f t="shared" si="1"/>
        <v>893.83125663675662</v>
      </c>
    </row>
    <row r="19" spans="2:14" x14ac:dyDescent="0.25">
      <c r="B19">
        <v>20</v>
      </c>
      <c r="C19">
        <f t="shared" si="2"/>
        <v>1.4970336246700264</v>
      </c>
      <c r="M19">
        <f t="shared" si="0"/>
        <v>6</v>
      </c>
      <c r="N19" s="15">
        <f t="shared" si="1"/>
        <v>920.09676029875891</v>
      </c>
    </row>
    <row r="20" spans="2:14" x14ac:dyDescent="0.25">
      <c r="B20">
        <v>25</v>
      </c>
      <c r="C20">
        <f t="shared" si="2"/>
        <v>1.380973179606132</v>
      </c>
      <c r="M20">
        <f t="shared" si="0"/>
        <v>6.5</v>
      </c>
      <c r="N20" s="15">
        <f t="shared" si="1"/>
        <v>944.94244343232435</v>
      </c>
    </row>
    <row r="21" spans="2:14" x14ac:dyDescent="0.25">
      <c r="B21">
        <v>30</v>
      </c>
      <c r="C21">
        <f t="shared" si="2"/>
        <v>1.308642548838753</v>
      </c>
      <c r="M21">
        <f t="shared" si="0"/>
        <v>7</v>
      </c>
      <c r="N21" s="15">
        <f t="shared" si="1"/>
        <v>968.54589721833599</v>
      </c>
    </row>
    <row r="22" spans="2:14" x14ac:dyDescent="0.25">
      <c r="B22">
        <v>35</v>
      </c>
      <c r="C22">
        <f t="shared" si="2"/>
        <v>1.2593090290354476</v>
      </c>
      <c r="M22">
        <f t="shared" si="0"/>
        <v>7.5</v>
      </c>
      <c r="N22" s="15">
        <f t="shared" si="1"/>
        <v>991.05163527375339</v>
      </c>
    </row>
    <row r="23" spans="2:14" x14ac:dyDescent="0.25">
      <c r="B23">
        <v>40</v>
      </c>
      <c r="C23">
        <f t="shared" si="2"/>
        <v>1.2235332544193585</v>
      </c>
      <c r="M23">
        <f t="shared" si="0"/>
        <v>8</v>
      </c>
      <c r="N23" s="15">
        <f t="shared" si="1"/>
        <v>1012.5790155764244</v>
      </c>
    </row>
    <row r="24" spans="2:14" x14ac:dyDescent="0.25">
      <c r="B24">
        <v>45</v>
      </c>
      <c r="C24">
        <f t="shared" si="2"/>
        <v>1.1964118093578799</v>
      </c>
      <c r="M24">
        <f t="shared" si="0"/>
        <v>8.5</v>
      </c>
      <c r="N24" s="15">
        <f t="shared" si="1"/>
        <v>1033.2278948019077</v>
      </c>
    </row>
    <row r="25" spans="2:14" x14ac:dyDescent="0.25">
      <c r="B25">
        <v>50</v>
      </c>
      <c r="C25">
        <f t="shared" si="2"/>
        <v>1.1751481521944933</v>
      </c>
      <c r="M25">
        <f t="shared" si="0"/>
        <v>9</v>
      </c>
      <c r="N25" s="15">
        <f t="shared" si="1"/>
        <v>1053.0827579620725</v>
      </c>
    </row>
    <row r="26" spans="2:14" x14ac:dyDescent="0.25">
      <c r="B26">
        <v>55</v>
      </c>
      <c r="C26">
        <f t="shared" si="2"/>
        <v>1.1580320134114368</v>
      </c>
      <c r="M26">
        <f t="shared" si="0"/>
        <v>9.5</v>
      </c>
      <c r="N26" s="15">
        <f t="shared" si="1"/>
        <v>1072.2157954664222</v>
      </c>
    </row>
    <row r="27" spans="2:14" x14ac:dyDescent="0.25">
      <c r="B27">
        <v>60</v>
      </c>
      <c r="C27">
        <f t="shared" si="2"/>
        <v>1.1439591552318435</v>
      </c>
      <c r="M27">
        <f t="shared" si="0"/>
        <v>10</v>
      </c>
      <c r="N27" s="15">
        <f t="shared" si="1"/>
        <v>1090.6892365999629</v>
      </c>
    </row>
    <row r="28" spans="2:14" x14ac:dyDescent="0.25">
      <c r="B28">
        <v>65</v>
      </c>
      <c r="C28">
        <f t="shared" si="2"/>
        <v>1.132185012571491</v>
      </c>
      <c r="M28">
        <f t="shared" si="0"/>
        <v>10.5</v>
      </c>
      <c r="N28" s="15">
        <f t="shared" si="1"/>
        <v>1108.5571469252625</v>
      </c>
    </row>
    <row r="29" spans="2:14" x14ac:dyDescent="0.25">
      <c r="B29">
        <v>70</v>
      </c>
      <c r="C29">
        <f t="shared" si="2"/>
        <v>1.1221893908941787</v>
      </c>
      <c r="M29">
        <f t="shared" si="0"/>
        <v>11</v>
      </c>
      <c r="N29" s="15">
        <f t="shared" si="1"/>
        <v>1125.8668321710006</v>
      </c>
    </row>
    <row r="30" spans="2:14" x14ac:dyDescent="0.25">
      <c r="B30">
        <v>75</v>
      </c>
      <c r="C30">
        <f t="shared" si="2"/>
        <v>1.1135979292440445</v>
      </c>
      <c r="M30">
        <f t="shared" si="0"/>
        <v>11.5</v>
      </c>
      <c r="N30" s="15">
        <f t="shared" si="1"/>
        <v>1142.6599485563327</v>
      </c>
    </row>
    <row r="31" spans="2:14" x14ac:dyDescent="0.25">
      <c r="B31">
        <v>80</v>
      </c>
      <c r="C31">
        <f t="shared" si="2"/>
        <v>1.1061343744859204</v>
      </c>
      <c r="M31">
        <f t="shared" si="0"/>
        <v>12</v>
      </c>
      <c r="N31" s="15">
        <f t="shared" si="1"/>
        <v>1158.9733909095523</v>
      </c>
    </row>
    <row r="32" spans="2:14" x14ac:dyDescent="0.25">
      <c r="B32">
        <v>85</v>
      </c>
      <c r="C32">
        <f t="shared" si="2"/>
        <v>1.0995904368828964</v>
      </c>
    </row>
    <row r="33" spans="2:3" x14ac:dyDescent="0.25">
      <c r="B33">
        <v>90</v>
      </c>
      <c r="C33">
        <f t="shared" si="2"/>
        <v>1.0938061114100066</v>
      </c>
    </row>
    <row r="34" spans="2:3" x14ac:dyDescent="0.25">
      <c r="B34">
        <v>95</v>
      </c>
      <c r="C34">
        <f t="shared" si="2"/>
        <v>1.0886564592896495</v>
      </c>
    </row>
    <row r="35" spans="2:3" x14ac:dyDescent="0.25">
      <c r="B35">
        <v>100</v>
      </c>
      <c r="C35">
        <f t="shared" si="2"/>
        <v>1.0840425047914373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G13" sqref="G13"/>
    </sheetView>
  </sheetViews>
  <sheetFormatPr defaultRowHeight="15" x14ac:dyDescent="0.25"/>
  <cols>
    <col min="2" max="2" width="15.140625" bestFit="1" customWidth="1"/>
  </cols>
  <sheetData>
    <row r="1" spans="2:6" x14ac:dyDescent="0.25">
      <c r="C1" s="14" t="s">
        <v>511</v>
      </c>
    </row>
    <row r="3" spans="2:6" x14ac:dyDescent="0.25">
      <c r="B3" t="s">
        <v>253</v>
      </c>
      <c r="C3" s="2">
        <v>50</v>
      </c>
      <c r="D3" t="s">
        <v>254</v>
      </c>
      <c r="E3">
        <f>C3/1000</f>
        <v>0.05</v>
      </c>
      <c r="F3" t="s">
        <v>507</v>
      </c>
    </row>
    <row r="4" spans="2:6" x14ac:dyDescent="0.25">
      <c r="B4" t="s">
        <v>64</v>
      </c>
      <c r="C4" s="41">
        <v>1</v>
      </c>
      <c r="D4" t="s">
        <v>248</v>
      </c>
      <c r="E4">
        <f>C4/1000</f>
        <v>1E-3</v>
      </c>
      <c r="F4" t="s">
        <v>3</v>
      </c>
    </row>
    <row r="5" spans="2:6" x14ac:dyDescent="0.25">
      <c r="B5" t="s">
        <v>508</v>
      </c>
      <c r="C5" s="2">
        <v>40</v>
      </c>
      <c r="D5" t="s">
        <v>695</v>
      </c>
      <c r="E5">
        <f>C5/1000</f>
        <v>0.04</v>
      </c>
      <c r="F5" t="s">
        <v>509</v>
      </c>
    </row>
    <row r="6" spans="2:6" x14ac:dyDescent="0.25">
      <c r="B6" t="s">
        <v>273</v>
      </c>
      <c r="C6" s="2">
        <v>30</v>
      </c>
      <c r="D6" t="s">
        <v>295</v>
      </c>
      <c r="E6">
        <f>C6/1000000</f>
        <v>3.0000000000000001E-5</v>
      </c>
      <c r="F6" t="s">
        <v>3</v>
      </c>
    </row>
    <row r="8" spans="2:6" x14ac:dyDescent="0.25">
      <c r="B8" t="s">
        <v>510</v>
      </c>
      <c r="C8" s="16">
        <f>3*E3*E4^4/(E5*E6^3)</f>
        <v>138.88888888888891</v>
      </c>
      <c r="D8" t="s">
        <v>94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C1" sqref="C1"/>
    </sheetView>
  </sheetViews>
  <sheetFormatPr defaultRowHeight="15" x14ac:dyDescent="0.25"/>
  <cols>
    <col min="2" max="2" width="16.5703125" customWidth="1"/>
    <col min="7" max="7" width="12" bestFit="1" customWidth="1"/>
  </cols>
  <sheetData>
    <row r="1" spans="2:9" x14ac:dyDescent="0.25">
      <c r="C1" s="14" t="s">
        <v>520</v>
      </c>
    </row>
    <row r="3" spans="2:9" x14ac:dyDescent="0.25">
      <c r="B3" s="42" t="s">
        <v>522</v>
      </c>
    </row>
    <row r="4" spans="2:9" x14ac:dyDescent="0.25">
      <c r="B4" t="s">
        <v>273</v>
      </c>
      <c r="C4" s="2">
        <v>10</v>
      </c>
      <c r="D4" t="s">
        <v>295</v>
      </c>
      <c r="E4">
        <f>C4/1000000</f>
        <v>1.0000000000000001E-5</v>
      </c>
      <c r="F4" t="s">
        <v>3</v>
      </c>
      <c r="H4" t="s">
        <v>519</v>
      </c>
    </row>
    <row r="5" spans="2:9" x14ac:dyDescent="0.25">
      <c r="B5" t="s">
        <v>512</v>
      </c>
      <c r="C5" s="2">
        <v>100</v>
      </c>
      <c r="D5" t="s">
        <v>295</v>
      </c>
      <c r="E5">
        <f>C5/1000000</f>
        <v>1E-4</v>
      </c>
      <c r="F5" t="s">
        <v>3</v>
      </c>
    </row>
    <row r="6" spans="2:9" x14ac:dyDescent="0.25">
      <c r="B6" t="s">
        <v>513</v>
      </c>
      <c r="C6" s="2">
        <v>30</v>
      </c>
      <c r="D6" t="s">
        <v>514</v>
      </c>
      <c r="E6">
        <f>RADIANS(C6)</f>
        <v>0.52359877559829882</v>
      </c>
      <c r="F6" t="s">
        <v>515</v>
      </c>
    </row>
    <row r="7" spans="2:9" x14ac:dyDescent="0.25">
      <c r="C7" s="2"/>
    </row>
    <row r="8" spans="2:9" x14ac:dyDescent="0.25">
      <c r="B8" s="42" t="s">
        <v>528</v>
      </c>
    </row>
    <row r="9" spans="2:9" x14ac:dyDescent="0.25">
      <c r="B9" t="s">
        <v>516</v>
      </c>
      <c r="C9">
        <f>E4/E5</f>
        <v>0.1</v>
      </c>
    </row>
    <row r="10" spans="2:9" x14ac:dyDescent="0.25">
      <c r="B10" t="s">
        <v>517</v>
      </c>
      <c r="C10">
        <f>2*(1-COS(E6))</f>
        <v>0.26794919243112258</v>
      </c>
    </row>
    <row r="11" spans="2:9" x14ac:dyDescent="0.25">
      <c r="B11" t="s">
        <v>518</v>
      </c>
      <c r="C11" t="str">
        <f>IF(C9&lt;C10,"Will grow", "Will self-heal")</f>
        <v>Will grow</v>
      </c>
      <c r="H11" t="s">
        <v>594</v>
      </c>
    </row>
    <row r="12" spans="2:9" x14ac:dyDescent="0.25">
      <c r="B12" t="s">
        <v>627</v>
      </c>
      <c r="E12">
        <f>FDensity^3*FSurften/FViscosity</f>
        <v>1.1483806177888818</v>
      </c>
      <c r="F12" t="s">
        <v>263</v>
      </c>
    </row>
    <row r="13" spans="2:9" x14ac:dyDescent="0.25">
      <c r="B13" t="s">
        <v>628</v>
      </c>
      <c r="E13">
        <f>SurfTen/E12</f>
        <v>8.7079142969638662E-5</v>
      </c>
      <c r="F13" t="s">
        <v>94</v>
      </c>
    </row>
    <row r="15" spans="2:9" ht="17.25" x14ac:dyDescent="0.25">
      <c r="B15" s="42" t="s">
        <v>522</v>
      </c>
      <c r="C15" t="s">
        <v>20</v>
      </c>
      <c r="E15" t="s">
        <v>4</v>
      </c>
      <c r="G15" t="s">
        <v>521</v>
      </c>
      <c r="H15">
        <v>9.8000000000000007</v>
      </c>
      <c r="I15" t="s">
        <v>540</v>
      </c>
    </row>
    <row r="16" spans="2:9" x14ac:dyDescent="0.25">
      <c r="B16" t="s">
        <v>523</v>
      </c>
      <c r="C16" s="44">
        <v>5</v>
      </c>
      <c r="D16" t="s">
        <v>524</v>
      </c>
      <c r="E16">
        <f>C16/60</f>
        <v>8.3333333333333329E-2</v>
      </c>
      <c r="F16" t="s">
        <v>263</v>
      </c>
    </row>
    <row r="17" spans="2:7" x14ac:dyDescent="0.25">
      <c r="B17" t="s">
        <v>253</v>
      </c>
      <c r="C17" s="44">
        <v>5</v>
      </c>
      <c r="D17" t="s">
        <v>254</v>
      </c>
      <c r="E17">
        <f>C17/1000</f>
        <v>5.0000000000000001E-3</v>
      </c>
      <c r="F17" t="s">
        <v>255</v>
      </c>
    </row>
    <row r="18" spans="2:7" x14ac:dyDescent="0.25">
      <c r="B18" t="s">
        <v>525</v>
      </c>
      <c r="C18" s="44">
        <v>40</v>
      </c>
      <c r="D18" t="s">
        <v>695</v>
      </c>
      <c r="E18">
        <f>C18/1000</f>
        <v>0.04</v>
      </c>
      <c r="F18" t="s">
        <v>509</v>
      </c>
    </row>
    <row r="19" spans="2:7" x14ac:dyDescent="0.25">
      <c r="B19" t="s">
        <v>276</v>
      </c>
      <c r="C19" s="44">
        <v>1</v>
      </c>
      <c r="D19" t="s">
        <v>25</v>
      </c>
      <c r="E19">
        <f>C19*1000</f>
        <v>1000</v>
      </c>
      <c r="F19" t="s">
        <v>526</v>
      </c>
    </row>
    <row r="20" spans="2:7" x14ac:dyDescent="0.25">
      <c r="B20" t="s">
        <v>0</v>
      </c>
      <c r="C20" s="44">
        <v>12</v>
      </c>
      <c r="D20" t="s">
        <v>527</v>
      </c>
      <c r="E20">
        <f>C20/1000000</f>
        <v>1.2E-5</v>
      </c>
      <c r="F20" t="s">
        <v>3</v>
      </c>
    </row>
    <row r="22" spans="2:7" x14ac:dyDescent="0.25">
      <c r="B22" s="42" t="s">
        <v>528</v>
      </c>
    </row>
    <row r="23" spans="2:7" x14ac:dyDescent="0.25">
      <c r="B23" t="s">
        <v>529</v>
      </c>
      <c r="C23" s="43">
        <f>FCa</f>
        <v>1.0416666666666666E-2</v>
      </c>
      <c r="E23">
        <f>FVelocity*FViscosity/FSurften</f>
        <v>1.0416666666666666E-2</v>
      </c>
      <c r="G23" t="s">
        <v>530</v>
      </c>
    </row>
    <row r="24" spans="2:7" x14ac:dyDescent="0.25">
      <c r="B24" t="s">
        <v>273</v>
      </c>
      <c r="C24" s="4">
        <f>h0*1000000</f>
        <v>0.82199213737977095</v>
      </c>
      <c r="D24" t="s">
        <v>527</v>
      </c>
      <c r="E24">
        <f>1.34*FRadius*FCa^0.666/(1-1.34*FCa^0.666)</f>
        <v>8.2199213737977091E-7</v>
      </c>
      <c r="F24" t="s">
        <v>3</v>
      </c>
      <c r="G24" t="s">
        <v>531</v>
      </c>
    </row>
    <row r="26" spans="2:7" x14ac:dyDescent="0.25">
      <c r="B26" t="s">
        <v>532</v>
      </c>
      <c r="C26" s="4">
        <f>E26*1000000</f>
        <v>106.62919051580079</v>
      </c>
      <c r="D26" t="s">
        <v>527</v>
      </c>
      <c r="E26">
        <f>2*PI()*SQRT(2)*FRadius</f>
        <v>1.0662919051580079E-4</v>
      </c>
      <c r="F26" t="s">
        <v>3</v>
      </c>
      <c r="G26" t="s">
        <v>533</v>
      </c>
    </row>
    <row r="27" spans="2:7" x14ac:dyDescent="0.25">
      <c r="B27" t="s">
        <v>534</v>
      </c>
      <c r="C27" s="4">
        <f>E27*1000000000</f>
        <v>3.7240690643065697E-4</v>
      </c>
      <c r="D27" t="s">
        <v>1</v>
      </c>
      <c r="E27">
        <f>1.68*FRadius^3/(FSurften/(FDensity*FGravity))</f>
        <v>3.7240690643065698E-13</v>
      </c>
      <c r="F27" t="s">
        <v>3</v>
      </c>
      <c r="G27" t="s">
        <v>535</v>
      </c>
    </row>
    <row r="28" spans="2:7" x14ac:dyDescent="0.25">
      <c r="B28" t="s">
        <v>536</v>
      </c>
      <c r="C28" s="16">
        <f>E28</f>
        <v>5.6003252862997122E-2</v>
      </c>
      <c r="D28" t="s">
        <v>94</v>
      </c>
      <c r="E28">
        <f>12*FViscosity*FRadius^4/(FSurften*h0^3)</f>
        <v>5.6003252862997122E-2</v>
      </c>
      <c r="F28" t="s">
        <v>94</v>
      </c>
      <c r="G28" t="s">
        <v>537</v>
      </c>
    </row>
    <row r="29" spans="2:7" x14ac:dyDescent="0.25">
      <c r="B29" t="s">
        <v>538</v>
      </c>
      <c r="C29" s="4">
        <f>E29*1000000000</f>
        <v>5.0276768379752372</v>
      </c>
      <c r="D29" t="s">
        <v>1</v>
      </c>
      <c r="E29">
        <f>(0.0000000001)^0.666*FRadius^0.333</f>
        <v>5.0276768379752374E-9</v>
      </c>
      <c r="F29" t="s">
        <v>3</v>
      </c>
      <c r="G29" t="s">
        <v>539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C1" sqref="C1"/>
    </sheetView>
  </sheetViews>
  <sheetFormatPr defaultRowHeight="15" x14ac:dyDescent="0.25"/>
  <cols>
    <col min="1" max="1" width="11.28515625" customWidth="1"/>
    <col min="5" max="5" width="12" bestFit="1" customWidth="1"/>
    <col min="8" max="8" width="10" bestFit="1" customWidth="1"/>
  </cols>
  <sheetData>
    <row r="1" spans="1:18" x14ac:dyDescent="0.25">
      <c r="C1" s="14" t="s">
        <v>624</v>
      </c>
      <c r="H1" t="s">
        <v>603</v>
      </c>
      <c r="I1" t="s">
        <v>607</v>
      </c>
      <c r="J1" t="s">
        <v>606</v>
      </c>
    </row>
    <row r="2" spans="1:18" x14ac:dyDescent="0.25">
      <c r="H2" t="s">
        <v>615</v>
      </c>
      <c r="I2" t="s">
        <v>616</v>
      </c>
      <c r="J2" t="s">
        <v>617</v>
      </c>
    </row>
    <row r="3" spans="1:18" x14ac:dyDescent="0.25">
      <c r="A3" s="14"/>
      <c r="H3" t="s">
        <v>625</v>
      </c>
      <c r="I3" t="s">
        <v>607</v>
      </c>
      <c r="J3" t="s">
        <v>606</v>
      </c>
      <c r="L3" t="s">
        <v>625</v>
      </c>
      <c r="O3" t="s">
        <v>607</v>
      </c>
      <c r="R3" t="s">
        <v>606</v>
      </c>
    </row>
    <row r="4" spans="1:18" ht="18" x14ac:dyDescent="0.35">
      <c r="H4" t="s">
        <v>610</v>
      </c>
      <c r="I4" t="s">
        <v>608</v>
      </c>
      <c r="J4" t="s">
        <v>609</v>
      </c>
    </row>
    <row r="5" spans="1:18" x14ac:dyDescent="0.25">
      <c r="A5" t="s">
        <v>601</v>
      </c>
      <c r="B5" s="2">
        <v>1000</v>
      </c>
      <c r="C5" t="s">
        <v>1</v>
      </c>
      <c r="D5" t="s">
        <v>604</v>
      </c>
      <c r="E5" s="3">
        <f>B5/1000000000</f>
        <v>9.9999999999999995E-7</v>
      </c>
      <c r="F5" t="s">
        <v>3</v>
      </c>
      <c r="H5" s="2">
        <v>1</v>
      </c>
      <c r="I5" s="2">
        <v>1</v>
      </c>
      <c r="J5" s="2">
        <v>1</v>
      </c>
    </row>
    <row r="6" spans="1:18" x14ac:dyDescent="0.25">
      <c r="A6" t="s">
        <v>602</v>
      </c>
      <c r="B6" s="2">
        <v>100</v>
      </c>
      <c r="C6" t="s">
        <v>1</v>
      </c>
      <c r="D6" t="s">
        <v>605</v>
      </c>
      <c r="E6" s="3">
        <f>B6/1000000000</f>
        <v>9.9999999999999995E-8</v>
      </c>
      <c r="F6" t="s">
        <v>3</v>
      </c>
      <c r="G6" t="s">
        <v>611</v>
      </c>
      <c r="H6" s="46">
        <f>CR*(1/y-1/x)</f>
        <v>9000000</v>
      </c>
      <c r="I6" s="46">
        <f>CB*(1/SQRT(y)-1/SQRT(x))</f>
        <v>2162.277660168379</v>
      </c>
      <c r="J6" s="46">
        <f>CK*LN(x/y)</f>
        <v>2.3025850929940459</v>
      </c>
    </row>
    <row r="7" spans="1:18" x14ac:dyDescent="0.25">
      <c r="A7" t="s">
        <v>54</v>
      </c>
      <c r="B7" s="2">
        <v>100</v>
      </c>
      <c r="C7" t="s">
        <v>91</v>
      </c>
      <c r="D7" t="s">
        <v>613</v>
      </c>
      <c r="E7">
        <f>B7/1000</f>
        <v>0.1</v>
      </c>
      <c r="F7" t="s">
        <v>612</v>
      </c>
      <c r="G7" t="s">
        <v>614</v>
      </c>
      <c r="H7" s="3">
        <f>H6*mass</f>
        <v>900000</v>
      </c>
      <c r="I7" s="3">
        <f>I6*mass</f>
        <v>216.2277660168379</v>
      </c>
      <c r="J7" s="3">
        <f>J6*mass</f>
        <v>0.23025850929940461</v>
      </c>
    </row>
    <row r="8" spans="1:18" x14ac:dyDescent="0.25">
      <c r="H8" t="s">
        <v>619</v>
      </c>
      <c r="I8" t="s">
        <v>622</v>
      </c>
      <c r="J8" t="s">
        <v>623</v>
      </c>
    </row>
    <row r="9" spans="1:18" x14ac:dyDescent="0.25">
      <c r="G9" t="s">
        <v>620</v>
      </c>
      <c r="H9">
        <v>-2</v>
      </c>
      <c r="I9">
        <v>-1.5</v>
      </c>
      <c r="J9">
        <v>-1</v>
      </c>
      <c r="L9" t="s">
        <v>626</v>
      </c>
    </row>
    <row r="10" spans="1:18" x14ac:dyDescent="0.25">
      <c r="D10" t="s">
        <v>618</v>
      </c>
      <c r="E10" s="3">
        <f>(x-y)/50</f>
        <v>1.7999999999999999E-8</v>
      </c>
      <c r="G10" t="s">
        <v>621</v>
      </c>
      <c r="H10" s="46">
        <f>SUM(H12:H62)</f>
        <v>9962603.8388035819</v>
      </c>
      <c r="I10" s="46">
        <f t="shared" ref="I10:J10" si="0">SUM(I12:I62)</f>
        <v>4630.8676345682197</v>
      </c>
      <c r="J10" s="46">
        <f t="shared" si="0"/>
        <v>2.4042494764949658</v>
      </c>
    </row>
    <row r="11" spans="1:18" x14ac:dyDescent="0.25">
      <c r="E11" s="3" t="s">
        <v>3</v>
      </c>
      <c r="F11" t="s">
        <v>1</v>
      </c>
      <c r="H11" s="3"/>
    </row>
    <row r="12" spans="1:18" x14ac:dyDescent="0.25">
      <c r="D12">
        <v>1</v>
      </c>
      <c r="E12" s="3">
        <f>x</f>
        <v>9.9999999999999995E-7</v>
      </c>
      <c r="F12" s="15">
        <f>E12*1000000000</f>
        <v>1000</v>
      </c>
      <c r="H12" s="3">
        <f t="shared" ref="H12:H43" si="1">xystep*CR*E12^Hukki_R</f>
        <v>18000</v>
      </c>
      <c r="I12" s="3">
        <f t="shared" ref="I12:I43" si="2">xystep*CR*E12^Bond_R</f>
        <v>17.999999999999986</v>
      </c>
      <c r="J12" s="3">
        <f t="shared" ref="J12:J43" si="3">xystep*CR*E12^K_K_R</f>
        <v>1.7999999999999999E-2</v>
      </c>
    </row>
    <row r="13" spans="1:18" x14ac:dyDescent="0.25">
      <c r="D13">
        <v>2</v>
      </c>
      <c r="E13" s="3">
        <f t="shared" ref="E13:E44" si="4">E12-xystep</f>
        <v>9.8199999999999987E-7</v>
      </c>
      <c r="F13" s="15">
        <f t="shared" ref="F13:F62" si="5">E13*1000000000</f>
        <v>981.99999999999989</v>
      </c>
      <c r="H13" s="3">
        <f t="shared" si="1"/>
        <v>18665.92556028887</v>
      </c>
      <c r="I13" s="3">
        <f t="shared" si="2"/>
        <v>18.497169379011652</v>
      </c>
      <c r="J13" s="3">
        <f t="shared" si="3"/>
        <v>1.8329938900203669E-2</v>
      </c>
    </row>
    <row r="14" spans="1:18" x14ac:dyDescent="0.25">
      <c r="D14">
        <v>3</v>
      </c>
      <c r="E14" s="3">
        <f t="shared" si="4"/>
        <v>9.6399999999999979E-7</v>
      </c>
      <c r="F14" s="15">
        <f t="shared" si="5"/>
        <v>963.99999999999977</v>
      </c>
      <c r="H14" s="3">
        <f t="shared" si="1"/>
        <v>19369.501213822085</v>
      </c>
      <c r="I14" s="3">
        <f t="shared" si="2"/>
        <v>19.017654547563296</v>
      </c>
      <c r="J14" s="3">
        <f t="shared" si="3"/>
        <v>1.8672199170124484E-2</v>
      </c>
    </row>
    <row r="15" spans="1:18" x14ac:dyDescent="0.25">
      <c r="D15">
        <v>4</v>
      </c>
      <c r="E15" s="3">
        <f t="shared" si="4"/>
        <v>9.4599999999999982E-7</v>
      </c>
      <c r="F15" s="15">
        <f t="shared" si="5"/>
        <v>945.99999999999977</v>
      </c>
      <c r="H15" s="3">
        <f t="shared" si="1"/>
        <v>20113.619602286701</v>
      </c>
      <c r="I15" s="3">
        <f t="shared" si="2"/>
        <v>19.563015566527465</v>
      </c>
      <c r="J15" s="3">
        <f t="shared" si="3"/>
        <v>1.9027484143763217E-2</v>
      </c>
    </row>
    <row r="16" spans="1:18" x14ac:dyDescent="0.25">
      <c r="D16">
        <v>5</v>
      </c>
      <c r="E16" s="3">
        <f t="shared" si="4"/>
        <v>9.2799999999999984E-7</v>
      </c>
      <c r="F16" s="15">
        <f t="shared" si="5"/>
        <v>927.99999999999989</v>
      </c>
      <c r="H16" s="3">
        <f t="shared" si="1"/>
        <v>20901.456599286572</v>
      </c>
      <c r="I16" s="3">
        <f t="shared" si="2"/>
        <v>20.134949317986489</v>
      </c>
      <c r="J16" s="3">
        <f t="shared" si="3"/>
        <v>1.9396551724137932E-2</v>
      </c>
    </row>
    <row r="17" spans="4:10" x14ac:dyDescent="0.25">
      <c r="D17">
        <v>6</v>
      </c>
      <c r="E17" s="3">
        <f t="shared" si="4"/>
        <v>9.0999999999999986E-7</v>
      </c>
      <c r="F17" s="15">
        <f t="shared" si="5"/>
        <v>909.99999999999989</v>
      </c>
      <c r="H17" s="3">
        <f t="shared" si="1"/>
        <v>21736.505252988773</v>
      </c>
      <c r="I17" s="3">
        <f t="shared" si="2"/>
        <v>20.735304462631358</v>
      </c>
      <c r="J17" s="3">
        <f t="shared" si="3"/>
        <v>1.9780219780219783E-2</v>
      </c>
    </row>
    <row r="18" spans="4:10" x14ac:dyDescent="0.25">
      <c r="D18">
        <v>7</v>
      </c>
      <c r="E18" s="3">
        <f t="shared" si="4"/>
        <v>8.9199999999999989E-7</v>
      </c>
      <c r="F18" s="15">
        <f t="shared" si="5"/>
        <v>891.99999999999989</v>
      </c>
      <c r="H18" s="3">
        <f t="shared" si="1"/>
        <v>22622.614570974685</v>
      </c>
      <c r="I18" s="3">
        <f t="shared" si="2"/>
        <v>21.36609836877043</v>
      </c>
      <c r="J18" s="3">
        <f t="shared" si="3"/>
        <v>2.0179372197309416E-2</v>
      </c>
    </row>
    <row r="19" spans="4:10" x14ac:dyDescent="0.25">
      <c r="D19">
        <v>8</v>
      </c>
      <c r="E19" s="3">
        <f t="shared" si="4"/>
        <v>8.7399999999999991E-7</v>
      </c>
      <c r="F19" s="15">
        <f t="shared" si="5"/>
        <v>873.99999999999989</v>
      </c>
      <c r="H19" s="3">
        <f t="shared" si="1"/>
        <v>23564.033953154703</v>
      </c>
      <c r="I19" s="3">
        <f t="shared" si="2"/>
        <v>22.02953631902189</v>
      </c>
      <c r="J19" s="3">
        <f t="shared" si="3"/>
        <v>2.0594965675057208E-2</v>
      </c>
    </row>
    <row r="20" spans="4:10" x14ac:dyDescent="0.25">
      <c r="D20">
        <v>9</v>
      </c>
      <c r="E20" s="3">
        <f t="shared" si="4"/>
        <v>8.5599999999999994E-7</v>
      </c>
      <c r="F20" s="15">
        <f t="shared" si="5"/>
        <v>855.99999999999989</v>
      </c>
      <c r="H20" s="3">
        <f t="shared" si="1"/>
        <v>24565.464232684077</v>
      </c>
      <c r="I20" s="3">
        <f t="shared" si="2"/>
        <v>22.728033355747939</v>
      </c>
      <c r="J20" s="3">
        <f t="shared" si="3"/>
        <v>2.1028037383177569E-2</v>
      </c>
    </row>
    <row r="21" spans="4:10" x14ac:dyDescent="0.25">
      <c r="D21">
        <v>10</v>
      </c>
      <c r="E21" s="3">
        <f t="shared" si="4"/>
        <v>8.3799999999999996E-7</v>
      </c>
      <c r="F21" s="15">
        <f t="shared" si="5"/>
        <v>838</v>
      </c>
      <c r="H21" s="3">
        <f t="shared" si="1"/>
        <v>25632.116472337249</v>
      </c>
      <c r="I21" s="3">
        <f t="shared" si="2"/>
        <v>23.464239192556963</v>
      </c>
      <c r="J21" s="3">
        <f t="shared" si="3"/>
        <v>2.1479713603818618E-2</v>
      </c>
    </row>
    <row r="22" spans="4:10" x14ac:dyDescent="0.25">
      <c r="D22">
        <v>11</v>
      </c>
      <c r="E22" s="3">
        <f t="shared" si="4"/>
        <v>8.1999999999999998E-7</v>
      </c>
      <c r="F22" s="15">
        <f t="shared" si="5"/>
        <v>820</v>
      </c>
      <c r="H22" s="3">
        <f t="shared" si="1"/>
        <v>26769.77989292088</v>
      </c>
      <c r="I22" s="3">
        <f t="shared" si="2"/>
        <v>24.241066699356601</v>
      </c>
      <c r="J22" s="3">
        <f t="shared" si="3"/>
        <v>2.1951219512195121E-2</v>
      </c>
    </row>
    <row r="23" spans="4:10" x14ac:dyDescent="0.25">
      <c r="D23">
        <v>12</v>
      </c>
      <c r="E23" s="3">
        <f t="shared" si="4"/>
        <v>8.0200000000000001E-7</v>
      </c>
      <c r="F23" s="15">
        <f t="shared" si="5"/>
        <v>802</v>
      </c>
      <c r="H23" s="3">
        <f t="shared" si="1"/>
        <v>27984.900591414233</v>
      </c>
      <c r="I23" s="3">
        <f t="shared" si="2"/>
        <v>25.061724565785443</v>
      </c>
      <c r="J23" s="3">
        <f t="shared" si="3"/>
        <v>2.2443890274314211E-2</v>
      </c>
    </row>
    <row r="24" spans="4:10" x14ac:dyDescent="0.25">
      <c r="D24">
        <v>13</v>
      </c>
      <c r="E24" s="3">
        <f t="shared" si="4"/>
        <v>7.8400000000000003E-7</v>
      </c>
      <c r="F24" s="15">
        <f t="shared" si="5"/>
        <v>784</v>
      </c>
      <c r="H24" s="3">
        <f t="shared" si="1"/>
        <v>29284.673052894625</v>
      </c>
      <c r="I24" s="3">
        <f t="shared" si="2"/>
        <v>25.929754866541003</v>
      </c>
      <c r="J24" s="3">
        <f t="shared" si="3"/>
        <v>2.2959183673469385E-2</v>
      </c>
    </row>
    <row r="25" spans="4:10" x14ac:dyDescent="0.25">
      <c r="D25">
        <v>14</v>
      </c>
      <c r="E25" s="3">
        <f t="shared" si="4"/>
        <v>7.6600000000000006E-7</v>
      </c>
      <c r="F25" s="15">
        <f t="shared" si="5"/>
        <v>766</v>
      </c>
      <c r="H25" s="3">
        <f t="shared" si="1"/>
        <v>30677.146888996438</v>
      </c>
      <c r="I25" s="3">
        <f t="shared" si="2"/>
        <v>26.849076397462596</v>
      </c>
      <c r="J25" s="3">
        <f t="shared" si="3"/>
        <v>2.3498694516971279E-2</v>
      </c>
    </row>
    <row r="26" spans="4:10" x14ac:dyDescent="0.25">
      <c r="D26">
        <v>15</v>
      </c>
      <c r="E26" s="3">
        <f t="shared" si="4"/>
        <v>7.4800000000000008E-7</v>
      </c>
      <c r="F26" s="15">
        <f t="shared" si="5"/>
        <v>748.00000000000011</v>
      </c>
      <c r="H26" s="3">
        <f t="shared" si="1"/>
        <v>32171.351768709425</v>
      </c>
      <c r="I26" s="3">
        <f t="shared" si="2"/>
        <v>27.824034829986132</v>
      </c>
      <c r="J26" s="3">
        <f t="shared" si="3"/>
        <v>2.4064171122994648E-2</v>
      </c>
    </row>
    <row r="27" spans="4:10" x14ac:dyDescent="0.25">
      <c r="D27">
        <v>16</v>
      </c>
      <c r="E27" s="3">
        <f t="shared" si="4"/>
        <v>7.300000000000001E-7</v>
      </c>
      <c r="F27" s="15">
        <f t="shared" si="5"/>
        <v>730.00000000000011</v>
      </c>
      <c r="H27" s="3">
        <f t="shared" si="1"/>
        <v>33777.444173390868</v>
      </c>
      <c r="I27" s="3">
        <f t="shared" si="2"/>
        <v>28.859460952470553</v>
      </c>
      <c r="J27" s="3">
        <f t="shared" si="3"/>
        <v>2.4657534246575338E-2</v>
      </c>
    </row>
    <row r="28" spans="4:10" x14ac:dyDescent="0.25">
      <c r="D28">
        <v>17</v>
      </c>
      <c r="E28" s="3">
        <f t="shared" si="4"/>
        <v>7.1200000000000013E-7</v>
      </c>
      <c r="F28" s="15">
        <f t="shared" si="5"/>
        <v>712.00000000000011</v>
      </c>
      <c r="H28" s="3">
        <f t="shared" si="1"/>
        <v>35506.880444388327</v>
      </c>
      <c r="I28" s="3">
        <f t="shared" si="2"/>
        <v>29.96073854115021</v>
      </c>
      <c r="J28" s="3">
        <f t="shared" si="3"/>
        <v>2.5280898876404487E-2</v>
      </c>
    </row>
    <row r="29" spans="4:10" x14ac:dyDescent="0.25">
      <c r="D29">
        <v>18</v>
      </c>
      <c r="E29" s="3">
        <f t="shared" si="4"/>
        <v>6.9400000000000015E-7</v>
      </c>
      <c r="F29" s="15">
        <f t="shared" si="5"/>
        <v>694.00000000000011</v>
      </c>
      <c r="H29" s="3">
        <f t="shared" si="1"/>
        <v>37372.621647883447</v>
      </c>
      <c r="I29" s="3">
        <f t="shared" si="2"/>
        <v>31.133883745721096</v>
      </c>
      <c r="J29" s="3">
        <f t="shared" si="3"/>
        <v>2.5936599423631117E-2</v>
      </c>
    </row>
    <row r="30" spans="4:10" x14ac:dyDescent="0.25">
      <c r="D30">
        <v>19</v>
      </c>
      <c r="E30" s="3">
        <f t="shared" si="4"/>
        <v>6.7600000000000018E-7</v>
      </c>
      <c r="F30" s="15">
        <f t="shared" si="5"/>
        <v>676.00000000000023</v>
      </c>
      <c r="H30" s="3">
        <f t="shared" si="1"/>
        <v>39389.377122649741</v>
      </c>
      <c r="I30" s="3">
        <f t="shared" si="2"/>
        <v>32.385638303954785</v>
      </c>
      <c r="J30" s="3">
        <f t="shared" si="3"/>
        <v>2.6627218934911236E-2</v>
      </c>
    </row>
    <row r="31" spans="4:10" x14ac:dyDescent="0.25">
      <c r="D31">
        <v>20</v>
      </c>
      <c r="E31" s="3">
        <f t="shared" si="4"/>
        <v>6.580000000000002E-7</v>
      </c>
      <c r="F31" s="15">
        <f t="shared" si="5"/>
        <v>658.00000000000023</v>
      </c>
      <c r="H31" s="3">
        <f t="shared" si="1"/>
        <v>41573.895289215703</v>
      </c>
      <c r="I31" s="3">
        <f t="shared" si="2"/>
        <v>33.723579441442595</v>
      </c>
      <c r="J31" s="3">
        <f t="shared" si="3"/>
        <v>2.7355623100303941E-2</v>
      </c>
    </row>
    <row r="32" spans="4:10" x14ac:dyDescent="0.25">
      <c r="D32">
        <v>21</v>
      </c>
      <c r="E32" s="3">
        <f t="shared" si="4"/>
        <v>6.4000000000000023E-7</v>
      </c>
      <c r="F32" s="15">
        <f t="shared" si="5"/>
        <v>640.00000000000023</v>
      </c>
      <c r="H32" s="3">
        <f t="shared" si="1"/>
        <v>43945.312499999964</v>
      </c>
      <c r="I32" s="3">
        <f t="shared" si="2"/>
        <v>35.15625</v>
      </c>
      <c r="J32" s="3">
        <f t="shared" si="3"/>
        <v>2.812499999999999E-2</v>
      </c>
    </row>
    <row r="33" spans="4:10" x14ac:dyDescent="0.25">
      <c r="D33">
        <v>22</v>
      </c>
      <c r="E33" s="3">
        <f t="shared" si="4"/>
        <v>6.2200000000000025E-7</v>
      </c>
      <c r="F33" s="15">
        <f t="shared" si="5"/>
        <v>622.00000000000023</v>
      </c>
      <c r="H33" s="3">
        <f t="shared" si="1"/>
        <v>46525.573556931748</v>
      </c>
      <c r="I33" s="3">
        <f t="shared" si="2"/>
        <v>36.69331321598689</v>
      </c>
      <c r="J33" s="3">
        <f t="shared" si="3"/>
        <v>2.893890675241156E-2</v>
      </c>
    </row>
    <row r="34" spans="4:10" x14ac:dyDescent="0.25">
      <c r="D34">
        <v>23</v>
      </c>
      <c r="E34" s="3">
        <f t="shared" si="4"/>
        <v>6.0400000000000027E-7</v>
      </c>
      <c r="F34" s="15">
        <f t="shared" si="5"/>
        <v>604.00000000000023</v>
      </c>
      <c r="H34" s="3">
        <f t="shared" si="1"/>
        <v>49339.941230647732</v>
      </c>
      <c r="I34" s="3">
        <f t="shared" si="2"/>
        <v>38.345737697804736</v>
      </c>
      <c r="J34" s="3">
        <f t="shared" si="3"/>
        <v>2.980132450331124E-2</v>
      </c>
    </row>
    <row r="35" spans="4:10" x14ac:dyDescent="0.25">
      <c r="D35">
        <v>24</v>
      </c>
      <c r="E35" s="3">
        <f t="shared" si="4"/>
        <v>5.860000000000003E-7</v>
      </c>
      <c r="F35" s="15">
        <f t="shared" si="5"/>
        <v>586.00000000000034</v>
      </c>
      <c r="H35" s="3">
        <f t="shared" si="1"/>
        <v>52417.616978648504</v>
      </c>
      <c r="I35" s="3">
        <f t="shared" si="2"/>
        <v>40.126019611420411</v>
      </c>
      <c r="J35" s="3">
        <f t="shared" si="3"/>
        <v>3.071672354948804E-2</v>
      </c>
    </row>
    <row r="36" spans="4:10" x14ac:dyDescent="0.25">
      <c r="D36">
        <v>25</v>
      </c>
      <c r="E36" s="3">
        <f t="shared" si="4"/>
        <v>5.6800000000000032E-7</v>
      </c>
      <c r="F36" s="15">
        <f t="shared" si="5"/>
        <v>568.00000000000034</v>
      </c>
      <c r="H36" s="3">
        <f t="shared" si="1"/>
        <v>55792.501487799964</v>
      </c>
      <c r="I36" s="3">
        <f t="shared" si="2"/>
        <v>42.048450985109788</v>
      </c>
      <c r="J36" s="3">
        <f t="shared" si="3"/>
        <v>3.1690140845070401E-2</v>
      </c>
    </row>
    <row r="37" spans="4:10" x14ac:dyDescent="0.25">
      <c r="D37">
        <v>26</v>
      </c>
      <c r="E37" s="3">
        <f t="shared" si="4"/>
        <v>5.5000000000000035E-7</v>
      </c>
      <c r="F37" s="15">
        <f t="shared" si="5"/>
        <v>550.00000000000034</v>
      </c>
      <c r="H37" s="3">
        <f t="shared" si="1"/>
        <v>59504.132231404881</v>
      </c>
      <c r="I37" s="3">
        <f t="shared" si="2"/>
        <v>44.129445543048526</v>
      </c>
      <c r="J37" s="3">
        <f t="shared" si="3"/>
        <v>3.2727272727272702E-2</v>
      </c>
    </row>
    <row r="38" spans="4:10" x14ac:dyDescent="0.25">
      <c r="D38">
        <v>27</v>
      </c>
      <c r="E38" s="3">
        <f t="shared" si="4"/>
        <v>5.3200000000000037E-7</v>
      </c>
      <c r="F38" s="15">
        <f t="shared" si="5"/>
        <v>532.00000000000034</v>
      </c>
      <c r="H38" s="3">
        <f t="shared" si="1"/>
        <v>63598.84674091234</v>
      </c>
      <c r="I38" s="3">
        <f t="shared" si="2"/>
        <v>46.387936785373398</v>
      </c>
      <c r="J38" s="3">
        <f t="shared" si="3"/>
        <v>3.3834586466165391E-2</v>
      </c>
    </row>
    <row r="39" spans="4:10" x14ac:dyDescent="0.25">
      <c r="D39">
        <v>28</v>
      </c>
      <c r="E39" s="3">
        <f t="shared" si="4"/>
        <v>5.1400000000000039E-7</v>
      </c>
      <c r="F39" s="15">
        <f t="shared" si="5"/>
        <v>514.00000000000034</v>
      </c>
      <c r="H39" s="3">
        <f t="shared" si="1"/>
        <v>68131.235900619125</v>
      </c>
      <c r="I39" s="3">
        <f t="shared" si="2"/>
        <v>48.845867450049013</v>
      </c>
      <c r="J39" s="3">
        <f t="shared" si="3"/>
        <v>3.5019455252918261E-2</v>
      </c>
    </row>
    <row r="40" spans="4:10" x14ac:dyDescent="0.25">
      <c r="D40">
        <v>29</v>
      </c>
      <c r="E40" s="3">
        <f t="shared" si="4"/>
        <v>4.9600000000000042E-7</v>
      </c>
      <c r="F40" s="15">
        <f t="shared" si="5"/>
        <v>496.0000000000004</v>
      </c>
      <c r="H40" s="3">
        <f t="shared" si="1"/>
        <v>73165.972944848996</v>
      </c>
      <c r="I40" s="3">
        <f t="shared" si="2"/>
        <v>51.528795445802139</v>
      </c>
      <c r="J40" s="3">
        <f t="shared" si="3"/>
        <v>3.6290322580645129E-2</v>
      </c>
    </row>
    <row r="41" spans="4:10" x14ac:dyDescent="0.25">
      <c r="D41">
        <v>30</v>
      </c>
      <c r="E41" s="3">
        <f t="shared" si="4"/>
        <v>4.7800000000000044E-7</v>
      </c>
      <c r="F41" s="15">
        <f t="shared" si="5"/>
        <v>478.00000000000045</v>
      </c>
      <c r="H41" s="3">
        <f t="shared" si="1"/>
        <v>78780.133401025727</v>
      </c>
      <c r="I41" s="3">
        <f t="shared" si="2"/>
        <v>54.466649448361252</v>
      </c>
      <c r="J41" s="3">
        <f t="shared" si="3"/>
        <v>3.7656903765690343E-2</v>
      </c>
    </row>
    <row r="42" spans="4:10" x14ac:dyDescent="0.25">
      <c r="D42">
        <v>31</v>
      </c>
      <c r="E42" s="3">
        <f t="shared" si="4"/>
        <v>4.6000000000000047E-7</v>
      </c>
      <c r="F42" s="15">
        <f t="shared" si="5"/>
        <v>460.00000000000045</v>
      </c>
      <c r="H42" s="3">
        <f t="shared" si="1"/>
        <v>85066.162570888293</v>
      </c>
      <c r="I42" s="3">
        <f t="shared" si="2"/>
        <v>57.694678495394314</v>
      </c>
      <c r="J42" s="3">
        <f t="shared" si="3"/>
        <v>3.9130434782608657E-2</v>
      </c>
    </row>
    <row r="43" spans="4:10" x14ac:dyDescent="0.25">
      <c r="D43">
        <v>32</v>
      </c>
      <c r="E43" s="3">
        <f t="shared" si="4"/>
        <v>4.4200000000000049E-7</v>
      </c>
      <c r="F43" s="15">
        <f t="shared" si="5"/>
        <v>442.00000000000051</v>
      </c>
      <c r="H43" s="3">
        <f t="shared" si="1"/>
        <v>92135.705657132115</v>
      </c>
      <c r="I43" s="3">
        <f t="shared" si="2"/>
        <v>61.254655411376255</v>
      </c>
      <c r="J43" s="3">
        <f t="shared" si="3"/>
        <v>4.0723981900452441E-2</v>
      </c>
    </row>
    <row r="44" spans="4:10" x14ac:dyDescent="0.25">
      <c r="D44">
        <v>33</v>
      </c>
      <c r="E44" s="3">
        <f t="shared" si="4"/>
        <v>4.2400000000000051E-7</v>
      </c>
      <c r="F44" s="15">
        <f t="shared" si="5"/>
        <v>424.00000000000051</v>
      </c>
      <c r="H44" s="3">
        <f t="shared" ref="H44:H62" si="6">xystep*CR*E44^Hukki_R</f>
        <v>100124.59950160176</v>
      </c>
      <c r="I44" s="3">
        <f t="shared" ref="I44:I62" si="7">xystep*CR*E44^Bond_R</f>
        <v>65.196415701716361</v>
      </c>
      <c r="J44" s="3">
        <f t="shared" ref="J44:J62" si="8">xystep*CR*E44^K_K_R</f>
        <v>4.2452830188679194E-2</v>
      </c>
    </row>
    <row r="45" spans="4:10" x14ac:dyDescent="0.25">
      <c r="D45">
        <v>34</v>
      </c>
      <c r="E45" s="3">
        <f t="shared" ref="E45:E62" si="9">E44-xystep</f>
        <v>4.0600000000000054E-7</v>
      </c>
      <c r="F45" s="15">
        <f t="shared" si="5"/>
        <v>406.00000000000051</v>
      </c>
      <c r="H45" s="3">
        <f t="shared" si="6"/>
        <v>109199.44672280298</v>
      </c>
      <c r="I45" s="3">
        <f t="shared" si="7"/>
        <v>69.579844644939371</v>
      </c>
      <c r="J45" s="3">
        <f t="shared" si="8"/>
        <v>4.4334975369458067E-2</v>
      </c>
    </row>
    <row r="46" spans="4:10" x14ac:dyDescent="0.25">
      <c r="D46">
        <v>35</v>
      </c>
      <c r="E46" s="3">
        <f t="shared" si="9"/>
        <v>3.8800000000000056E-7</v>
      </c>
      <c r="F46" s="15">
        <f t="shared" si="5"/>
        <v>388.00000000000057</v>
      </c>
      <c r="H46" s="3">
        <f t="shared" si="6"/>
        <v>119566.37262195734</v>
      </c>
      <c r="I46" s="3">
        <f t="shared" si="7"/>
        <v>74.47747025272426</v>
      </c>
      <c r="J46" s="3">
        <f t="shared" si="8"/>
        <v>4.639175257731952E-2</v>
      </c>
    </row>
    <row r="47" spans="4:10" x14ac:dyDescent="0.25">
      <c r="D47">
        <v>36</v>
      </c>
      <c r="E47" s="3">
        <f t="shared" si="9"/>
        <v>3.7000000000000059E-7</v>
      </c>
      <c r="F47" s="15">
        <f t="shared" si="5"/>
        <v>370.00000000000057</v>
      </c>
      <c r="H47" s="3">
        <f t="shared" si="6"/>
        <v>131482.83418553646</v>
      </c>
      <c r="I47" s="3">
        <f t="shared" si="7"/>
        <v>79.97788571611953</v>
      </c>
      <c r="J47" s="3">
        <f t="shared" si="8"/>
        <v>4.8648648648648568E-2</v>
      </c>
    </row>
    <row r="48" spans="4:10" x14ac:dyDescent="0.25">
      <c r="D48">
        <v>37</v>
      </c>
      <c r="E48" s="3">
        <f t="shared" si="9"/>
        <v>3.5200000000000061E-7</v>
      </c>
      <c r="F48" s="15">
        <f t="shared" si="5"/>
        <v>352.00000000000063</v>
      </c>
      <c r="H48" s="3">
        <f t="shared" si="6"/>
        <v>145273.76033057799</v>
      </c>
      <c r="I48" s="3">
        <f t="shared" si="7"/>
        <v>86.190323326266736</v>
      </c>
      <c r="J48" s="3">
        <f t="shared" si="8"/>
        <v>5.1136363636363549E-2</v>
      </c>
    </row>
    <row r="49" spans="4:10" x14ac:dyDescent="0.25">
      <c r="D49">
        <v>38</v>
      </c>
      <c r="E49" s="3">
        <f t="shared" si="9"/>
        <v>3.3400000000000063E-7</v>
      </c>
      <c r="F49" s="15">
        <f t="shared" si="5"/>
        <v>334.00000000000063</v>
      </c>
      <c r="H49" s="3">
        <f t="shared" si="6"/>
        <v>161353.93882892834</v>
      </c>
      <c r="I49" s="3">
        <f t="shared" si="7"/>
        <v>93.250851225356755</v>
      </c>
      <c r="J49" s="3">
        <f t="shared" si="8"/>
        <v>5.3892215568862173E-2</v>
      </c>
    </row>
    <row r="50" spans="4:10" x14ac:dyDescent="0.25">
      <c r="D50">
        <v>39</v>
      </c>
      <c r="E50" s="3">
        <f t="shared" si="9"/>
        <v>3.1600000000000066E-7</v>
      </c>
      <c r="F50" s="15">
        <f t="shared" si="5"/>
        <v>316.00000000000068</v>
      </c>
      <c r="H50" s="3">
        <f t="shared" si="6"/>
        <v>180259.57378625142</v>
      </c>
      <c r="I50" s="3">
        <f t="shared" si="7"/>
        <v>101.33089561207854</v>
      </c>
      <c r="J50" s="3">
        <f t="shared" si="8"/>
        <v>5.6962025316455576E-2</v>
      </c>
    </row>
    <row r="51" spans="4:10" x14ac:dyDescent="0.25">
      <c r="D51">
        <v>40</v>
      </c>
      <c r="E51" s="3">
        <f t="shared" si="9"/>
        <v>2.9800000000000068E-7</v>
      </c>
      <c r="F51" s="15">
        <f t="shared" si="5"/>
        <v>298.00000000000068</v>
      </c>
      <c r="H51" s="3">
        <f t="shared" si="6"/>
        <v>202693.57236160443</v>
      </c>
      <c r="I51" s="3">
        <f t="shared" si="7"/>
        <v>110.64915686284898</v>
      </c>
      <c r="J51" s="3">
        <f t="shared" si="8"/>
        <v>6.0402684563758247E-2</v>
      </c>
    </row>
    <row r="52" spans="4:10" x14ac:dyDescent="0.25">
      <c r="D52">
        <v>41</v>
      </c>
      <c r="E52" s="3">
        <f t="shared" si="9"/>
        <v>2.8000000000000071E-7</v>
      </c>
      <c r="F52" s="15">
        <f t="shared" si="5"/>
        <v>280.00000000000068</v>
      </c>
      <c r="H52" s="3">
        <f t="shared" si="6"/>
        <v>229591.83673469274</v>
      </c>
      <c r="I52" s="3">
        <f t="shared" si="7"/>
        <v>121.48858061010847</v>
      </c>
      <c r="J52" s="3">
        <f t="shared" si="8"/>
        <v>6.4285714285714127E-2</v>
      </c>
    </row>
    <row r="53" spans="4:10" x14ac:dyDescent="0.25">
      <c r="D53">
        <v>42</v>
      </c>
      <c r="E53" s="3">
        <f t="shared" si="9"/>
        <v>2.6200000000000073E-7</v>
      </c>
      <c r="F53" s="15">
        <f t="shared" si="5"/>
        <v>262.00000000000074</v>
      </c>
      <c r="H53" s="3">
        <f t="shared" si="6"/>
        <v>262222.48120738735</v>
      </c>
      <c r="I53" s="3">
        <f t="shared" si="7"/>
        <v>134.22103027635578</v>
      </c>
      <c r="J53" s="3">
        <f t="shared" si="8"/>
        <v>6.8702290076335687E-2</v>
      </c>
    </row>
    <row r="54" spans="4:10" x14ac:dyDescent="0.25">
      <c r="D54">
        <v>43</v>
      </c>
      <c r="E54" s="3">
        <f t="shared" si="9"/>
        <v>2.4400000000000076E-7</v>
      </c>
      <c r="F54" s="15">
        <f t="shared" si="5"/>
        <v>244.00000000000077</v>
      </c>
      <c r="H54" s="3">
        <f t="shared" si="6"/>
        <v>302338.08116097632</v>
      </c>
      <c r="I54" s="3">
        <f t="shared" si="7"/>
        <v>149.34399531988149</v>
      </c>
      <c r="J54" s="3">
        <f t="shared" si="8"/>
        <v>7.3770491803278451E-2</v>
      </c>
    </row>
    <row r="55" spans="4:10" x14ac:dyDescent="0.25">
      <c r="D55">
        <v>44</v>
      </c>
      <c r="E55" s="3">
        <f t="shared" si="9"/>
        <v>2.2600000000000075E-7</v>
      </c>
      <c r="F55" s="15">
        <f t="shared" si="5"/>
        <v>226.00000000000074</v>
      </c>
      <c r="H55" s="3">
        <f t="shared" si="6"/>
        <v>352416.00751820579</v>
      </c>
      <c r="I55" s="3">
        <f t="shared" si="7"/>
        <v>167.53665739845275</v>
      </c>
      <c r="J55" s="3">
        <f t="shared" si="8"/>
        <v>7.9646017699114766E-2</v>
      </c>
    </row>
    <row r="56" spans="4:10" x14ac:dyDescent="0.25">
      <c r="D56">
        <v>45</v>
      </c>
      <c r="E56" s="3">
        <f t="shared" si="9"/>
        <v>2.0800000000000075E-7</v>
      </c>
      <c r="F56" s="15">
        <f t="shared" si="5"/>
        <v>208.00000000000074</v>
      </c>
      <c r="H56" s="3">
        <f t="shared" si="6"/>
        <v>416050.29585798515</v>
      </c>
      <c r="I56" s="3">
        <f t="shared" si="7"/>
        <v>189.74812917699995</v>
      </c>
      <c r="J56" s="3">
        <f t="shared" si="8"/>
        <v>8.6538461538461217E-2</v>
      </c>
    </row>
    <row r="57" spans="4:10" x14ac:dyDescent="0.25">
      <c r="D57">
        <v>46</v>
      </c>
      <c r="E57" s="3">
        <f t="shared" si="9"/>
        <v>1.9000000000000075E-7</v>
      </c>
      <c r="F57" s="15">
        <f t="shared" si="5"/>
        <v>190.00000000000074</v>
      </c>
      <c r="H57" s="3">
        <f t="shared" si="6"/>
        <v>498614.95844874956</v>
      </c>
      <c r="I57" s="3">
        <f t="shared" si="7"/>
        <v>217.34122156158332</v>
      </c>
      <c r="J57" s="3">
        <f t="shared" si="8"/>
        <v>9.4736842105262786E-2</v>
      </c>
    </row>
    <row r="58" spans="4:10" x14ac:dyDescent="0.25">
      <c r="D58">
        <v>47</v>
      </c>
      <c r="E58" s="3">
        <f t="shared" si="9"/>
        <v>1.7200000000000075E-7</v>
      </c>
      <c r="F58" s="15">
        <f t="shared" si="5"/>
        <v>172.00000000000074</v>
      </c>
      <c r="H58" s="3">
        <f t="shared" si="6"/>
        <v>608436.99296916719</v>
      </c>
      <c r="I58" s="3">
        <f t="shared" si="7"/>
        <v>252.33636043800482</v>
      </c>
      <c r="J58" s="3">
        <f t="shared" si="8"/>
        <v>0.10465116279069722</v>
      </c>
    </row>
    <row r="59" spans="4:10" x14ac:dyDescent="0.25">
      <c r="D59">
        <v>48</v>
      </c>
      <c r="E59" s="3">
        <f t="shared" si="9"/>
        <v>1.5400000000000074E-7</v>
      </c>
      <c r="F59" s="15">
        <f t="shared" si="5"/>
        <v>154.00000000000074</v>
      </c>
      <c r="H59" s="3">
        <f t="shared" si="6"/>
        <v>758981.27846179053</v>
      </c>
      <c r="I59" s="3">
        <f t="shared" si="7"/>
        <v>297.84576122977933</v>
      </c>
      <c r="J59" s="3">
        <f t="shared" si="8"/>
        <v>0.11688311688311631</v>
      </c>
    </row>
    <row r="60" spans="4:10" x14ac:dyDescent="0.25">
      <c r="D60">
        <v>49</v>
      </c>
      <c r="E60" s="3">
        <f t="shared" si="9"/>
        <v>1.3600000000000074E-7</v>
      </c>
      <c r="F60" s="15">
        <f t="shared" si="5"/>
        <v>136.00000000000074</v>
      </c>
      <c r="H60" s="3">
        <f t="shared" si="6"/>
        <v>973183.39100344945</v>
      </c>
      <c r="I60" s="3">
        <f t="shared" si="7"/>
        <v>358.89230153821558</v>
      </c>
      <c r="J60" s="3">
        <f t="shared" si="8"/>
        <v>0.13235294117646987</v>
      </c>
    </row>
    <row r="61" spans="4:10" x14ac:dyDescent="0.25">
      <c r="D61">
        <v>50</v>
      </c>
      <c r="E61" s="3">
        <f t="shared" si="9"/>
        <v>1.1800000000000074E-7</v>
      </c>
      <c r="F61" s="15">
        <f t="shared" si="5"/>
        <v>118.00000000000074</v>
      </c>
      <c r="H61" s="3">
        <f t="shared" si="6"/>
        <v>1292731.9735707967</v>
      </c>
      <c r="I61" s="3">
        <f t="shared" si="7"/>
        <v>444.06801590306816</v>
      </c>
      <c r="J61" s="3">
        <f t="shared" si="8"/>
        <v>0.15254237288135497</v>
      </c>
    </row>
    <row r="62" spans="4:10" x14ac:dyDescent="0.25">
      <c r="D62">
        <v>51</v>
      </c>
      <c r="E62" s="3">
        <f t="shared" si="9"/>
        <v>1.0000000000000074E-7</v>
      </c>
      <c r="F62" s="15">
        <f t="shared" si="5"/>
        <v>100.00000000000074</v>
      </c>
      <c r="H62" s="3">
        <f t="shared" si="6"/>
        <v>1799999.9999999735</v>
      </c>
      <c r="I62" s="3">
        <f t="shared" si="7"/>
        <v>569.20997883030373</v>
      </c>
      <c r="J62" s="3">
        <f t="shared" si="8"/>
        <v>0.17999999999999866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opLeftCell="A2" workbookViewId="0">
      <selection activeCell="H30" sqref="H30"/>
    </sheetView>
  </sheetViews>
  <sheetFormatPr defaultRowHeight="15" x14ac:dyDescent="0.25"/>
  <sheetData>
    <row r="1" spans="2:6" x14ac:dyDescent="0.25">
      <c r="B1" t="s">
        <v>709</v>
      </c>
    </row>
    <row r="2" spans="2:6" x14ac:dyDescent="0.25">
      <c r="C2" s="14" t="s">
        <v>730</v>
      </c>
    </row>
    <row r="4" spans="2:6" x14ac:dyDescent="0.25">
      <c r="C4" t="s">
        <v>712</v>
      </c>
      <c r="D4" t="s">
        <v>713</v>
      </c>
      <c r="E4" t="s">
        <v>714</v>
      </c>
      <c r="F4" t="s">
        <v>715</v>
      </c>
    </row>
    <row r="5" spans="2:6" x14ac:dyDescent="0.25">
      <c r="B5" t="s">
        <v>710</v>
      </c>
      <c r="C5" s="2">
        <v>205</v>
      </c>
      <c r="D5" s="2">
        <v>134</v>
      </c>
      <c r="E5" s="2">
        <v>204</v>
      </c>
      <c r="F5" s="2">
        <v>182</v>
      </c>
    </row>
    <row r="6" spans="2:6" x14ac:dyDescent="0.25">
      <c r="B6" t="s">
        <v>711</v>
      </c>
      <c r="C6" s="2">
        <v>155.6</v>
      </c>
      <c r="D6" s="2">
        <v>122</v>
      </c>
      <c r="E6" s="2">
        <v>79.5</v>
      </c>
      <c r="F6" s="2">
        <v>126.2</v>
      </c>
    </row>
    <row r="7" spans="2:6" x14ac:dyDescent="0.25">
      <c r="B7" t="s">
        <v>581</v>
      </c>
      <c r="C7" s="2">
        <v>100.1</v>
      </c>
      <c r="D7" s="2">
        <v>130.19999999999999</v>
      </c>
      <c r="E7" s="2">
        <v>1669.8</v>
      </c>
      <c r="F7" s="2">
        <v>172.7</v>
      </c>
    </row>
    <row r="9" spans="2:6" x14ac:dyDescent="0.25">
      <c r="B9" t="s">
        <v>490</v>
      </c>
      <c r="C9" t="s">
        <v>716</v>
      </c>
      <c r="D9" t="s">
        <v>716</v>
      </c>
      <c r="E9" t="s">
        <v>716</v>
      </c>
      <c r="F9" t="s">
        <v>716</v>
      </c>
    </row>
    <row r="10" spans="2:6" x14ac:dyDescent="0.25">
      <c r="B10">
        <v>0</v>
      </c>
      <c r="C10" s="15">
        <f>C$5+(C$6-C$5)*$B10/($B10+C$7)</f>
        <v>205</v>
      </c>
      <c r="D10" s="15">
        <f t="shared" ref="D10:F10" si="0">D$5+(D$6-D$5)*$B10/($B10+D$7)</f>
        <v>134</v>
      </c>
      <c r="E10" s="15">
        <f t="shared" si="0"/>
        <v>204</v>
      </c>
      <c r="F10" s="15">
        <f t="shared" si="0"/>
        <v>182</v>
      </c>
    </row>
    <row r="11" spans="2:6" x14ac:dyDescent="0.25">
      <c r="B11">
        <v>100</v>
      </c>
      <c r="C11" s="15">
        <f t="shared" ref="C11:F38" si="1">C$5+(C$6-C$5)*$B11/($B11+C$7)</f>
        <v>180.31234382808594</v>
      </c>
      <c r="D11" s="15">
        <f t="shared" si="1"/>
        <v>128.78714161598609</v>
      </c>
      <c r="E11" s="15">
        <f t="shared" si="1"/>
        <v>196.9653068143293</v>
      </c>
      <c r="F11" s="15">
        <f t="shared" si="1"/>
        <v>161.53795379537954</v>
      </c>
    </row>
    <row r="12" spans="2:6" x14ac:dyDescent="0.25">
      <c r="B12">
        <v>200</v>
      </c>
      <c r="C12" s="15">
        <f t="shared" si="1"/>
        <v>172.07764078640452</v>
      </c>
      <c r="D12" s="15">
        <f t="shared" si="1"/>
        <v>126.73167777104786</v>
      </c>
      <c r="E12" s="15">
        <f t="shared" si="1"/>
        <v>190.68306770777622</v>
      </c>
      <c r="F12" s="15">
        <f t="shared" si="1"/>
        <v>152.05634558626241</v>
      </c>
    </row>
    <row r="13" spans="2:6" x14ac:dyDescent="0.25">
      <c r="B13">
        <v>300</v>
      </c>
      <c r="C13" s="15">
        <f t="shared" si="1"/>
        <v>167.95926018495376</v>
      </c>
      <c r="D13" s="15">
        <f t="shared" si="1"/>
        <v>125.63179916317992</v>
      </c>
      <c r="E13" s="15">
        <f t="shared" si="1"/>
        <v>185.03868413036855</v>
      </c>
      <c r="F13" s="15">
        <f t="shared" si="1"/>
        <v>146.58641844721811</v>
      </c>
    </row>
    <row r="14" spans="2:6" x14ac:dyDescent="0.25">
      <c r="B14">
        <v>400</v>
      </c>
      <c r="C14" s="15">
        <f t="shared" si="1"/>
        <v>165.4879024195161</v>
      </c>
      <c r="D14" s="15">
        <f t="shared" si="1"/>
        <v>124.94681252357601</v>
      </c>
      <c r="E14" s="15">
        <f t="shared" si="1"/>
        <v>179.93970431925791</v>
      </c>
      <c r="F14" s="15">
        <f t="shared" si="1"/>
        <v>143.0267155578837</v>
      </c>
    </row>
    <row r="15" spans="2:6" x14ac:dyDescent="0.25">
      <c r="B15">
        <v>500</v>
      </c>
      <c r="C15" s="15">
        <f t="shared" si="1"/>
        <v>163.84019330111647</v>
      </c>
      <c r="D15" s="15">
        <f t="shared" si="1"/>
        <v>124.47921294827039</v>
      </c>
      <c r="E15" s="15">
        <f t="shared" si="1"/>
        <v>175.31071988201677</v>
      </c>
      <c r="F15" s="15">
        <f t="shared" si="1"/>
        <v>140.5253456221198</v>
      </c>
    </row>
    <row r="16" spans="2:6" x14ac:dyDescent="0.25">
      <c r="B16">
        <v>600</v>
      </c>
      <c r="C16" s="15">
        <f t="shared" si="1"/>
        <v>162.66319097271818</v>
      </c>
      <c r="D16" s="15">
        <f t="shared" si="1"/>
        <v>124.13968775677897</v>
      </c>
      <c r="E16" s="15">
        <f t="shared" si="1"/>
        <v>171.08961141950834</v>
      </c>
      <c r="F16" s="15">
        <f t="shared" si="1"/>
        <v>138.67141193218583</v>
      </c>
    </row>
    <row r="17" spans="2:6" x14ac:dyDescent="0.25">
      <c r="B17">
        <v>700</v>
      </c>
      <c r="C17" s="15">
        <f t="shared" si="1"/>
        <v>161.78040244969378</v>
      </c>
      <c r="D17" s="15">
        <f t="shared" si="1"/>
        <v>123.88195615514334</v>
      </c>
      <c r="E17" s="15">
        <f t="shared" si="1"/>
        <v>167.22474470419445</v>
      </c>
      <c r="F17" s="15">
        <f t="shared" si="1"/>
        <v>137.24235132347886</v>
      </c>
    </row>
    <row r="18" spans="2:6" x14ac:dyDescent="0.25">
      <c r="B18">
        <v>800</v>
      </c>
      <c r="C18" s="15">
        <f t="shared" si="1"/>
        <v>161.09376735918232</v>
      </c>
      <c r="D18" s="15">
        <f t="shared" si="1"/>
        <v>123.67963878735756</v>
      </c>
      <c r="E18" s="15">
        <f t="shared" si="1"/>
        <v>163.67284800388694</v>
      </c>
      <c r="F18" s="15">
        <f t="shared" si="1"/>
        <v>136.10712449881771</v>
      </c>
    </row>
    <row r="19" spans="2:6" x14ac:dyDescent="0.25">
      <c r="B19">
        <v>900</v>
      </c>
      <c r="C19" s="15">
        <f t="shared" si="1"/>
        <v>160.54444555544444</v>
      </c>
      <c r="D19" s="15">
        <f t="shared" si="1"/>
        <v>123.51659871869541</v>
      </c>
      <c r="E19" s="15">
        <f t="shared" si="1"/>
        <v>160.39738501050667</v>
      </c>
      <c r="F19" s="15">
        <f t="shared" si="1"/>
        <v>135.18355551412324</v>
      </c>
    </row>
    <row r="20" spans="2:6" x14ac:dyDescent="0.25">
      <c r="B20">
        <v>1000</v>
      </c>
      <c r="C20" s="15">
        <f t="shared" si="1"/>
        <v>160.09499136442139</v>
      </c>
      <c r="D20" s="15">
        <f t="shared" si="1"/>
        <v>123.38241019288621</v>
      </c>
      <c r="E20" s="15">
        <f t="shared" si="1"/>
        <v>157.36729343021949</v>
      </c>
      <c r="F20" s="15">
        <f t="shared" si="1"/>
        <v>134.41749808135074</v>
      </c>
    </row>
    <row r="21" spans="2:6" x14ac:dyDescent="0.25">
      <c r="B21">
        <v>1500</v>
      </c>
      <c r="C21" s="15">
        <f t="shared" si="1"/>
        <v>158.69039435035307</v>
      </c>
      <c r="D21" s="15">
        <f t="shared" si="1"/>
        <v>122.95841001104159</v>
      </c>
      <c r="E21" s="15">
        <f t="shared" si="1"/>
        <v>145.08461101646793</v>
      </c>
      <c r="F21" s="15">
        <f t="shared" si="1"/>
        <v>131.96114067077181</v>
      </c>
    </row>
    <row r="22" spans="2:6" x14ac:dyDescent="0.25">
      <c r="B22">
        <v>2000</v>
      </c>
      <c r="C22" s="15">
        <f t="shared" si="1"/>
        <v>157.95462120851386</v>
      </c>
      <c r="D22" s="15">
        <f t="shared" si="1"/>
        <v>122.73345225800394</v>
      </c>
      <c r="E22" s="15">
        <f t="shared" si="1"/>
        <v>136.14889094773559</v>
      </c>
      <c r="F22" s="15">
        <f t="shared" si="1"/>
        <v>130.63533851889355</v>
      </c>
    </row>
    <row r="23" spans="2:6" x14ac:dyDescent="0.25">
      <c r="B23">
        <v>2500</v>
      </c>
      <c r="C23" s="15">
        <f t="shared" si="1"/>
        <v>157.50182685281334</v>
      </c>
      <c r="D23" s="15">
        <f t="shared" si="1"/>
        <v>122.59402326819253</v>
      </c>
      <c r="E23" s="15">
        <f t="shared" si="1"/>
        <v>129.35613218859419</v>
      </c>
      <c r="F23" s="15">
        <f t="shared" si="1"/>
        <v>129.80558985295767</v>
      </c>
    </row>
    <row r="24" spans="2:6" x14ac:dyDescent="0.25">
      <c r="B24">
        <v>3000</v>
      </c>
      <c r="C24" s="15">
        <f t="shared" si="1"/>
        <v>157.19509048095222</v>
      </c>
      <c r="D24" s="15">
        <f t="shared" si="1"/>
        <v>122.49913743530765</v>
      </c>
      <c r="E24" s="15">
        <f t="shared" si="1"/>
        <v>124.01798792239497</v>
      </c>
      <c r="F24" s="15">
        <f t="shared" si="1"/>
        <v>129.23736880259716</v>
      </c>
    </row>
    <row r="25" spans="2:6" x14ac:dyDescent="0.25">
      <c r="B25">
        <v>3500</v>
      </c>
      <c r="C25" s="15">
        <f t="shared" si="1"/>
        <v>156.97355629010303</v>
      </c>
      <c r="D25" s="15">
        <f t="shared" si="1"/>
        <v>122.43038951021983</v>
      </c>
      <c r="E25" s="15">
        <f t="shared" si="1"/>
        <v>119.71240666950366</v>
      </c>
      <c r="F25" s="15">
        <f t="shared" si="1"/>
        <v>128.82386255343479</v>
      </c>
    </row>
    <row r="26" spans="2:6" x14ac:dyDescent="0.25">
      <c r="B26">
        <v>4000</v>
      </c>
      <c r="C26" s="15">
        <f t="shared" si="1"/>
        <v>156.80605351088997</v>
      </c>
      <c r="D26" s="15">
        <f t="shared" si="1"/>
        <v>122.37828676577405</v>
      </c>
      <c r="E26" s="15">
        <f t="shared" si="1"/>
        <v>116.16621397580163</v>
      </c>
      <c r="F26" s="15">
        <f t="shared" si="1"/>
        <v>128.5094543101589</v>
      </c>
    </row>
    <row r="27" spans="2:6" x14ac:dyDescent="0.25">
      <c r="B27">
        <v>4500</v>
      </c>
      <c r="C27" s="15">
        <f t="shared" si="1"/>
        <v>156.6749635877481</v>
      </c>
      <c r="D27" s="15">
        <f t="shared" si="1"/>
        <v>122.33743682778282</v>
      </c>
      <c r="E27" s="15">
        <f t="shared" si="1"/>
        <v>113.19478751337159</v>
      </c>
      <c r="F27" s="15">
        <f t="shared" si="1"/>
        <v>128.26233227042181</v>
      </c>
    </row>
    <row r="28" spans="2:6" x14ac:dyDescent="0.25">
      <c r="B28">
        <v>5000</v>
      </c>
      <c r="C28" s="15">
        <f t="shared" si="1"/>
        <v>156.56957706711631</v>
      </c>
      <c r="D28" s="15">
        <f t="shared" si="1"/>
        <v>122.30454953023273</v>
      </c>
      <c r="E28" s="15">
        <f t="shared" si="1"/>
        <v>110.66886563315242</v>
      </c>
      <c r="F28" s="15">
        <f t="shared" si="1"/>
        <v>128.06298451485685</v>
      </c>
    </row>
    <row r="29" spans="2:6" x14ac:dyDescent="0.25">
      <c r="B29">
        <v>6000</v>
      </c>
      <c r="C29" s="15">
        <f t="shared" si="1"/>
        <v>156.41063261258012</v>
      </c>
      <c r="D29" s="15">
        <f t="shared" si="1"/>
        <v>122.25486933542136</v>
      </c>
      <c r="E29" s="15">
        <f t="shared" si="1"/>
        <v>106.60502229523587</v>
      </c>
      <c r="F29" s="15">
        <f t="shared" si="1"/>
        <v>127.76117420253698</v>
      </c>
    </row>
    <row r="30" spans="2:6" x14ac:dyDescent="0.25">
      <c r="B30">
        <v>7000</v>
      </c>
      <c r="C30" s="15">
        <f t="shared" si="1"/>
        <v>156.29646061323081</v>
      </c>
      <c r="D30" s="15">
        <f t="shared" si="1"/>
        <v>122.21912428823876</v>
      </c>
      <c r="E30" s="15">
        <f t="shared" si="1"/>
        <v>103.47865002652887</v>
      </c>
      <c r="F30" s="15">
        <f t="shared" si="1"/>
        <v>127.54351917687899</v>
      </c>
    </row>
    <row r="31" spans="2:6" x14ac:dyDescent="0.25">
      <c r="B31">
        <v>8000</v>
      </c>
      <c r="C31" s="15">
        <f t="shared" si="1"/>
        <v>156.21047888297676</v>
      </c>
      <c r="D31" s="15">
        <f t="shared" si="1"/>
        <v>122.19217239428305</v>
      </c>
      <c r="E31" s="15">
        <f t="shared" si="1"/>
        <v>100.99890380359469</v>
      </c>
      <c r="F31" s="15">
        <f t="shared" si="1"/>
        <v>127.37912807272994</v>
      </c>
    </row>
    <row r="32" spans="2:6" x14ac:dyDescent="0.25">
      <c r="B32">
        <v>9000</v>
      </c>
      <c r="C32" s="15">
        <f t="shared" si="1"/>
        <v>156.14339402863703</v>
      </c>
      <c r="D32" s="15">
        <f t="shared" si="1"/>
        <v>122.17112440034172</v>
      </c>
      <c r="E32" s="15">
        <f t="shared" si="1"/>
        <v>98.983973457796765</v>
      </c>
      <c r="F32" s="15">
        <f t="shared" si="1"/>
        <v>127.25058052699859</v>
      </c>
    </row>
    <row r="33" spans="2:6" x14ac:dyDescent="0.25">
      <c r="B33">
        <v>10000</v>
      </c>
      <c r="C33" s="15">
        <f t="shared" si="1"/>
        <v>156.08959317234482</v>
      </c>
      <c r="D33" s="15">
        <f t="shared" si="1"/>
        <v>122.15423190065349</v>
      </c>
      <c r="E33" s="15">
        <f t="shared" si="1"/>
        <v>97.314366998577512</v>
      </c>
      <c r="F33" s="15">
        <f t="shared" si="1"/>
        <v>127.14730602494913</v>
      </c>
    </row>
    <row r="34" spans="2:6" x14ac:dyDescent="0.25">
      <c r="B34">
        <v>11000</v>
      </c>
      <c r="C34" s="15">
        <f t="shared" si="1"/>
        <v>156.04548607670199</v>
      </c>
      <c r="D34" s="15">
        <f t="shared" si="1"/>
        <v>122.1403748360317</v>
      </c>
      <c r="E34" s="15">
        <f t="shared" si="1"/>
        <v>95.908317416218082</v>
      </c>
      <c r="F34" s="15">
        <f t="shared" si="1"/>
        <v>127.06251846017526</v>
      </c>
    </row>
    <row r="35" spans="2:6" x14ac:dyDescent="0.25">
      <c r="B35">
        <v>12000</v>
      </c>
      <c r="C35" s="15">
        <f t="shared" si="1"/>
        <v>156.00866934984009</v>
      </c>
      <c r="D35" s="15">
        <f t="shared" si="1"/>
        <v>122.12880249295148</v>
      </c>
      <c r="E35" s="15">
        <f t="shared" si="1"/>
        <v>94.707984023175172</v>
      </c>
      <c r="F35" s="15">
        <f t="shared" si="1"/>
        <v>126.99166166914489</v>
      </c>
    </row>
    <row r="36" spans="2:6" x14ac:dyDescent="0.25">
      <c r="B36">
        <v>13000</v>
      </c>
      <c r="C36" s="15">
        <f t="shared" si="1"/>
        <v>155.97747345440109</v>
      </c>
      <c r="D36" s="15">
        <f t="shared" si="1"/>
        <v>122.11899285616366</v>
      </c>
      <c r="E36" s="15">
        <f t="shared" si="1"/>
        <v>93.671297495535043</v>
      </c>
      <c r="F36" s="15">
        <f t="shared" si="1"/>
        <v>126.93156300530643</v>
      </c>
    </row>
    <row r="37" spans="2:6" x14ac:dyDescent="0.25">
      <c r="B37">
        <v>14000</v>
      </c>
      <c r="C37" s="15">
        <f t="shared" si="1"/>
        <v>155.95070247728739</v>
      </c>
      <c r="D37" s="15">
        <f t="shared" si="1"/>
        <v>122.11057168334489</v>
      </c>
      <c r="E37" s="15">
        <f t="shared" si="1"/>
        <v>92.766927465570717</v>
      </c>
      <c r="F37" s="15">
        <f t="shared" si="1"/>
        <v>126.87994524684783</v>
      </c>
    </row>
    <row r="38" spans="2:6" x14ac:dyDescent="0.25">
      <c r="B38">
        <v>15000</v>
      </c>
      <c r="C38" s="15">
        <f t="shared" si="1"/>
        <v>155.92747730147482</v>
      </c>
      <c r="D38" s="15">
        <f t="shared" si="1"/>
        <v>122.10326367133283</v>
      </c>
      <c r="E38" s="15">
        <f t="shared" si="1"/>
        <v>91.971061440449191</v>
      </c>
      <c r="F38" s="15">
        <f t="shared" si="1"/>
        <v>126.83513151910998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workbookViewId="0">
      <selection activeCell="C1" sqref="C1"/>
    </sheetView>
  </sheetViews>
  <sheetFormatPr defaultRowHeight="15" x14ac:dyDescent="0.25"/>
  <cols>
    <col min="5" max="5" width="12" bestFit="1" customWidth="1"/>
    <col min="8" max="8" width="12" bestFit="1" customWidth="1"/>
    <col min="9" max="9" width="10" bestFit="1" customWidth="1"/>
  </cols>
  <sheetData>
    <row r="1" spans="2:18" x14ac:dyDescent="0.25">
      <c r="C1" s="14" t="s">
        <v>658</v>
      </c>
    </row>
    <row r="2" spans="2:18" ht="18" x14ac:dyDescent="0.35">
      <c r="B2" t="s">
        <v>670</v>
      </c>
      <c r="C2" s="2">
        <v>4.4000000000000004</v>
      </c>
      <c r="D2" t="s">
        <v>274</v>
      </c>
      <c r="E2">
        <f>C2*1000000000</f>
        <v>4400000000</v>
      </c>
      <c r="F2" t="s">
        <v>649</v>
      </c>
      <c r="G2" t="s">
        <v>653</v>
      </c>
      <c r="H2" s="3">
        <f>HModulus/(0.194*SQRT(HModulus/HHardness)+0.93*SQRT(HHardness/HModulus))^2</f>
        <v>5155464963.2896805</v>
      </c>
      <c r="J2" t="s">
        <v>662</v>
      </c>
      <c r="K2" t="s">
        <v>672</v>
      </c>
      <c r="L2">
        <v>1141</v>
      </c>
      <c r="M2" t="s">
        <v>274</v>
      </c>
      <c r="N2" t="s">
        <v>664</v>
      </c>
      <c r="P2" t="s">
        <v>673</v>
      </c>
    </row>
    <row r="3" spans="2:18" x14ac:dyDescent="0.25">
      <c r="B3" t="s">
        <v>650</v>
      </c>
      <c r="C3" s="2">
        <v>0.4</v>
      </c>
      <c r="D3" t="s">
        <v>274</v>
      </c>
      <c r="E3">
        <f>C3*1000000000</f>
        <v>400000000</v>
      </c>
      <c r="F3" t="s">
        <v>649</v>
      </c>
      <c r="G3" t="s">
        <v>654</v>
      </c>
      <c r="H3" s="3">
        <f>HModulus/(0.93*SQRT(HHardness/HModulus))^2</f>
        <v>55960226615.793724</v>
      </c>
      <c r="K3" t="s">
        <v>663</v>
      </c>
      <c r="L3">
        <v>7.0000000000000007E-2</v>
      </c>
      <c r="P3" t="s">
        <v>319</v>
      </c>
      <c r="Q3" t="s">
        <v>679</v>
      </c>
      <c r="R3" t="s">
        <v>680</v>
      </c>
    </row>
    <row r="4" spans="2:18" x14ac:dyDescent="0.25">
      <c r="B4" t="s">
        <v>651</v>
      </c>
      <c r="C4" s="2">
        <v>9</v>
      </c>
      <c r="D4" t="s">
        <v>652</v>
      </c>
      <c r="H4" s="3"/>
      <c r="P4" t="s">
        <v>364</v>
      </c>
      <c r="Q4">
        <v>40</v>
      </c>
      <c r="R4">
        <v>350</v>
      </c>
    </row>
    <row r="5" spans="2:18" x14ac:dyDescent="0.25">
      <c r="B5" t="s">
        <v>663</v>
      </c>
      <c r="C5" s="2">
        <v>0.3</v>
      </c>
      <c r="H5" s="3"/>
      <c r="P5" t="s">
        <v>674</v>
      </c>
      <c r="Q5">
        <v>6</v>
      </c>
      <c r="R5">
        <v>210</v>
      </c>
    </row>
    <row r="6" spans="2:18" ht="18" x14ac:dyDescent="0.35">
      <c r="E6" s="14" t="s">
        <v>671</v>
      </c>
      <c r="F6" s="14"/>
      <c r="G6" s="47">
        <f>(1-sPoisson^2)/(1/rModulus-(1-iPoisson^2)/iModulus)</f>
        <v>4.0194240200757765</v>
      </c>
      <c r="H6" t="s">
        <v>274</v>
      </c>
      <c r="I6" t="s">
        <v>666</v>
      </c>
      <c r="J6">
        <v>24.5</v>
      </c>
      <c r="P6" t="s">
        <v>675</v>
      </c>
      <c r="Q6">
        <v>18</v>
      </c>
      <c r="R6">
        <v>170</v>
      </c>
    </row>
    <row r="7" spans="2:18" x14ac:dyDescent="0.25">
      <c r="E7" s="14" t="s">
        <v>657</v>
      </c>
      <c r="F7" s="14"/>
      <c r="G7" s="48">
        <f>(dMax-dMin)/dMax</f>
        <v>0.30352480417754574</v>
      </c>
      <c r="I7" t="s">
        <v>667</v>
      </c>
      <c r="J7">
        <v>1500</v>
      </c>
      <c r="P7" t="s">
        <v>676</v>
      </c>
      <c r="Q7">
        <v>1.73</v>
      </c>
      <c r="R7">
        <v>210</v>
      </c>
    </row>
    <row r="8" spans="2:18" x14ac:dyDescent="0.25">
      <c r="E8" s="14" t="s">
        <v>669</v>
      </c>
      <c r="F8" s="14"/>
      <c r="G8" s="49">
        <f>dMax</f>
        <v>1321.257102375806</v>
      </c>
      <c r="H8" t="s">
        <v>1</v>
      </c>
      <c r="P8" t="s">
        <v>677</v>
      </c>
      <c r="Q8">
        <v>1.2</v>
      </c>
      <c r="R8">
        <v>127</v>
      </c>
    </row>
    <row r="9" spans="2:18" x14ac:dyDescent="0.25">
      <c r="E9" s="14" t="s">
        <v>661</v>
      </c>
      <c r="F9" s="14"/>
      <c r="G9" s="49">
        <f>dMax-dMin</f>
        <v>401.03430326680802</v>
      </c>
      <c r="H9" t="s">
        <v>1</v>
      </c>
      <c r="P9" t="s">
        <v>678</v>
      </c>
      <c r="Q9">
        <v>0.97</v>
      </c>
      <c r="R9">
        <v>137</v>
      </c>
    </row>
    <row r="10" spans="2:18" x14ac:dyDescent="0.25">
      <c r="E10" s="14" t="s">
        <v>668</v>
      </c>
      <c r="F10" s="14"/>
      <c r="G10" s="47">
        <f>PMax/1000/(H62/1000000000000000000)/1000000000</f>
        <v>0.20110817867466235</v>
      </c>
      <c r="H10" s="50" t="s">
        <v>274</v>
      </c>
    </row>
    <row r="11" spans="2:18" ht="17.25" x14ac:dyDescent="0.25">
      <c r="D11" t="s">
        <v>655</v>
      </c>
      <c r="E11" t="s">
        <v>659</v>
      </c>
      <c r="F11" t="s">
        <v>656</v>
      </c>
      <c r="G11" t="s">
        <v>660</v>
      </c>
      <c r="H11" t="s">
        <v>665</v>
      </c>
    </row>
    <row r="12" spans="2:18" x14ac:dyDescent="0.25">
      <c r="D12" s="15">
        <v>0</v>
      </c>
      <c r="E12" s="15">
        <f t="shared" ref="E12:E43" si="0">1000000000*SQRT(D12/1000/Km)</f>
        <v>0</v>
      </c>
      <c r="F12" s="15">
        <f t="shared" ref="F12:F43" si="1">1000000000*SQRT(D12/1000/Kmunload)</f>
        <v>0</v>
      </c>
      <c r="G12" s="15">
        <f t="shared" ref="G12:G43" si="2">F12+(dMax-uDMax)</f>
        <v>920.22279910899795</v>
      </c>
      <c r="H12" s="3">
        <f t="shared" ref="H12:H43" si="3">AreaF2*E12^2+AreaF1*E12</f>
        <v>0</v>
      </c>
    </row>
    <row r="13" spans="2:18" x14ac:dyDescent="0.25">
      <c r="D13" s="15">
        <f t="shared" ref="D13:D44" si="4">D12+PMax/50</f>
        <v>0.18</v>
      </c>
      <c r="E13" s="15">
        <f t="shared" si="0"/>
        <v>186.85397135616424</v>
      </c>
      <c r="F13" s="15">
        <f t="shared" si="1"/>
        <v>56.714815065676483</v>
      </c>
      <c r="G13" s="15">
        <f t="shared" si="2"/>
        <v>976.93761417467442</v>
      </c>
      <c r="H13" s="3">
        <f t="shared" si="3"/>
        <v>1135683.9190177172</v>
      </c>
    </row>
    <row r="14" spans="2:18" x14ac:dyDescent="0.25">
      <c r="D14" s="15">
        <f t="shared" si="4"/>
        <v>0.36</v>
      </c>
      <c r="E14" s="15">
        <f t="shared" si="0"/>
        <v>264.2514204751613</v>
      </c>
      <c r="F14" s="15">
        <f t="shared" si="1"/>
        <v>80.206860653361616</v>
      </c>
      <c r="G14" s="15">
        <f t="shared" si="2"/>
        <v>1000.4296597623595</v>
      </c>
      <c r="H14" s="3">
        <f t="shared" si="3"/>
        <v>2107183.0546796839</v>
      </c>
    </row>
    <row r="15" spans="2:18" x14ac:dyDescent="0.25">
      <c r="D15" s="15">
        <f t="shared" si="4"/>
        <v>0.54</v>
      </c>
      <c r="E15" s="15">
        <f t="shared" si="0"/>
        <v>323.64057198489616</v>
      </c>
      <c r="F15" s="15">
        <f t="shared" si="1"/>
        <v>98.232941235624494</v>
      </c>
      <c r="G15" s="15">
        <f t="shared" si="2"/>
        <v>1018.4557403446224</v>
      </c>
      <c r="H15" s="3">
        <f t="shared" si="3"/>
        <v>3051669.7439277577</v>
      </c>
    </row>
    <row r="16" spans="2:18" x14ac:dyDescent="0.25">
      <c r="D16" s="15">
        <f t="shared" si="4"/>
        <v>0.72</v>
      </c>
      <c r="E16" s="15">
        <f t="shared" si="0"/>
        <v>373.70794271232847</v>
      </c>
      <c r="F16" s="15">
        <f t="shared" si="1"/>
        <v>113.42963013135297</v>
      </c>
      <c r="G16" s="15">
        <f t="shared" si="2"/>
        <v>1033.652429240351</v>
      </c>
      <c r="H16" s="3">
        <f t="shared" si="3"/>
        <v>3982173.7620023764</v>
      </c>
    </row>
    <row r="17" spans="4:8" x14ac:dyDescent="0.25">
      <c r="D17" s="15">
        <f t="shared" si="4"/>
        <v>0.89999999999999991</v>
      </c>
      <c r="E17" s="15">
        <f t="shared" si="0"/>
        <v>417.81818181818181</v>
      </c>
      <c r="F17" s="15">
        <f t="shared" si="1"/>
        <v>126.81818181818183</v>
      </c>
      <c r="G17" s="15">
        <f t="shared" si="2"/>
        <v>1047.0409809271798</v>
      </c>
      <c r="H17" s="3">
        <f t="shared" si="3"/>
        <v>4903742.0826446274</v>
      </c>
    </row>
    <row r="18" spans="4:8" x14ac:dyDescent="0.25">
      <c r="D18" s="15">
        <f t="shared" si="4"/>
        <v>1.0799999999999998</v>
      </c>
      <c r="E18" s="15">
        <f t="shared" si="0"/>
        <v>457.69688623522609</v>
      </c>
      <c r="F18" s="15">
        <f t="shared" si="1"/>
        <v>138.92235776721941</v>
      </c>
      <c r="G18" s="15">
        <f t="shared" si="2"/>
        <v>1059.1451568762172</v>
      </c>
      <c r="H18" s="3">
        <f t="shared" si="3"/>
        <v>5818963.101253666</v>
      </c>
    </row>
    <row r="19" spans="4:8" x14ac:dyDescent="0.25">
      <c r="D19" s="15">
        <f t="shared" si="4"/>
        <v>1.2599999999999998</v>
      </c>
      <c r="E19" s="15">
        <f t="shared" si="0"/>
        <v>494.36913969319698</v>
      </c>
      <c r="F19" s="15">
        <f t="shared" si="1"/>
        <v>150.05329631679936</v>
      </c>
      <c r="G19" s="15">
        <f t="shared" si="2"/>
        <v>1070.2760954257974</v>
      </c>
      <c r="H19" s="3">
        <f t="shared" si="3"/>
        <v>6729374.4434240926</v>
      </c>
    </row>
    <row r="20" spans="4:8" x14ac:dyDescent="0.25">
      <c r="D20" s="15">
        <f t="shared" si="4"/>
        <v>1.4399999999999997</v>
      </c>
      <c r="E20" s="15">
        <f t="shared" si="0"/>
        <v>528.50284095032259</v>
      </c>
      <c r="F20" s="15">
        <f t="shared" si="1"/>
        <v>160.41372130672323</v>
      </c>
      <c r="G20" s="15">
        <f t="shared" si="2"/>
        <v>1080.6365204157212</v>
      </c>
      <c r="H20" s="3">
        <f t="shared" si="3"/>
        <v>7635977.9572932515</v>
      </c>
    </row>
    <row r="21" spans="4:8" x14ac:dyDescent="0.25">
      <c r="D21" s="15">
        <f t="shared" si="4"/>
        <v>1.6199999999999997</v>
      </c>
      <c r="E21" s="15">
        <f t="shared" si="0"/>
        <v>560.56191406849268</v>
      </c>
      <c r="F21" s="15">
        <f t="shared" si="1"/>
        <v>170.14444519702946</v>
      </c>
      <c r="G21" s="15">
        <f t="shared" si="2"/>
        <v>1090.3672443060275</v>
      </c>
      <c r="H21" s="3">
        <f t="shared" si="3"/>
        <v>8539469.5289539769</v>
      </c>
    </row>
    <row r="22" spans="4:8" x14ac:dyDescent="0.25">
      <c r="D22" s="15">
        <f t="shared" si="4"/>
        <v>1.7999999999999996</v>
      </c>
      <c r="E22" s="15">
        <f t="shared" si="0"/>
        <v>590.88413933334039</v>
      </c>
      <c r="F22" s="15">
        <f t="shared" si="1"/>
        <v>179.34799268276979</v>
      </c>
      <c r="G22" s="15">
        <f t="shared" si="2"/>
        <v>1099.5707917917678</v>
      </c>
      <c r="H22" s="3">
        <f t="shared" si="3"/>
        <v>9440355.8288347181</v>
      </c>
    </row>
    <row r="23" spans="4:8" x14ac:dyDescent="0.25">
      <c r="D23" s="15">
        <f t="shared" si="4"/>
        <v>1.9799999999999995</v>
      </c>
      <c r="E23" s="15">
        <f t="shared" si="0"/>
        <v>619.72451357621208</v>
      </c>
      <c r="F23" s="15">
        <f t="shared" si="1"/>
        <v>188.10176162724454</v>
      </c>
      <c r="G23" s="15">
        <f t="shared" si="2"/>
        <v>1108.3245607362426</v>
      </c>
      <c r="H23" s="3">
        <f t="shared" si="3"/>
        <v>10339019.352182498</v>
      </c>
    </row>
    <row r="24" spans="4:8" x14ac:dyDescent="0.25">
      <c r="D24" s="15">
        <f t="shared" si="4"/>
        <v>2.1599999999999997</v>
      </c>
      <c r="E24" s="15">
        <f t="shared" si="0"/>
        <v>647.28114396979231</v>
      </c>
      <c r="F24" s="15">
        <f t="shared" si="1"/>
        <v>196.46588247124899</v>
      </c>
      <c r="G24" s="15">
        <f t="shared" si="2"/>
        <v>1116.688681580247</v>
      </c>
      <c r="H24" s="3">
        <f t="shared" si="3"/>
        <v>11235757.259756343</v>
      </c>
    </row>
    <row r="25" spans="4:8" x14ac:dyDescent="0.25">
      <c r="D25" s="15">
        <f t="shared" si="4"/>
        <v>2.34</v>
      </c>
      <c r="E25" s="15">
        <f t="shared" si="0"/>
        <v>673.71157474872973</v>
      </c>
      <c r="F25" s="15">
        <f t="shared" si="1"/>
        <v>204.48817379775414</v>
      </c>
      <c r="G25" s="15">
        <f t="shared" si="2"/>
        <v>1124.710972906752</v>
      </c>
      <c r="H25" s="3">
        <f t="shared" si="3"/>
        <v>12130805.867908219</v>
      </c>
    </row>
    <row r="26" spans="4:8" x14ac:dyDescent="0.25">
      <c r="D26" s="15">
        <f t="shared" si="4"/>
        <v>2.52</v>
      </c>
      <c r="E26" s="15">
        <f t="shared" si="0"/>
        <v>699.14354217283847</v>
      </c>
      <c r="F26" s="15">
        <f t="shared" si="1"/>
        <v>212.20740673000645</v>
      </c>
      <c r="G26" s="15">
        <f t="shared" si="2"/>
        <v>1132.4302058390044</v>
      </c>
      <c r="H26" s="3">
        <f t="shared" si="3"/>
        <v>13024356.781027853</v>
      </c>
    </row>
    <row r="27" spans="4:8" x14ac:dyDescent="0.25">
      <c r="D27" s="15">
        <f t="shared" si="4"/>
        <v>2.7</v>
      </c>
      <c r="E27" s="15">
        <f t="shared" si="0"/>
        <v>723.68231923514179</v>
      </c>
      <c r="F27" s="15">
        <f t="shared" si="1"/>
        <v>219.65553423259854</v>
      </c>
      <c r="G27" s="15">
        <f t="shared" si="2"/>
        <v>1139.8783333415965</v>
      </c>
      <c r="H27" s="3">
        <f t="shared" si="3"/>
        <v>13916567.908604778</v>
      </c>
    </row>
    <row r="28" spans="4:8" x14ac:dyDescent="0.25">
      <c r="D28" s="15">
        <f t="shared" si="4"/>
        <v>2.8800000000000003</v>
      </c>
      <c r="E28" s="15">
        <f t="shared" si="0"/>
        <v>747.41588542465706</v>
      </c>
      <c r="F28" s="15">
        <f t="shared" si="1"/>
        <v>226.85926026270596</v>
      </c>
      <c r="G28" s="15">
        <f t="shared" si="2"/>
        <v>1147.082059371704</v>
      </c>
      <c r="H28" s="3">
        <f t="shared" si="3"/>
        <v>14807571.219872527</v>
      </c>
    </row>
    <row r="29" spans="4:8" x14ac:dyDescent="0.25">
      <c r="D29" s="15">
        <f t="shared" si="4"/>
        <v>3.0600000000000005</v>
      </c>
      <c r="E29" s="15">
        <f t="shared" si="0"/>
        <v>770.41866046760208</v>
      </c>
      <c r="F29" s="15">
        <f t="shared" si="1"/>
        <v>233.84117305315601</v>
      </c>
      <c r="G29" s="15">
        <f t="shared" si="2"/>
        <v>1154.063972162154</v>
      </c>
      <c r="H29" s="3">
        <f t="shared" si="3"/>
        <v>15697478.344420414</v>
      </c>
    </row>
    <row r="30" spans="4:8" x14ac:dyDescent="0.25">
      <c r="D30" s="15">
        <f t="shared" si="4"/>
        <v>3.2400000000000007</v>
      </c>
      <c r="E30" s="15">
        <f t="shared" si="0"/>
        <v>792.75426142548406</v>
      </c>
      <c r="F30" s="15">
        <f t="shared" si="1"/>
        <v>240.62058196008488</v>
      </c>
      <c r="G30" s="15">
        <f t="shared" si="2"/>
        <v>1160.8433810690829</v>
      </c>
      <c r="H30" s="3">
        <f t="shared" si="3"/>
        <v>16586384.707840711</v>
      </c>
    </row>
    <row r="31" spans="4:8" x14ac:dyDescent="0.25">
      <c r="D31" s="15">
        <f t="shared" si="4"/>
        <v>3.4200000000000008</v>
      </c>
      <c r="E31" s="15">
        <f t="shared" si="0"/>
        <v>814.47757834076378</v>
      </c>
      <c r="F31" s="15">
        <f t="shared" si="1"/>
        <v>247.21414747288193</v>
      </c>
      <c r="G31" s="15">
        <f t="shared" si="2"/>
        <v>1167.43694658188</v>
      </c>
      <c r="H31" s="3">
        <f t="shared" si="3"/>
        <v>17474372.645197101</v>
      </c>
    </row>
    <row r="32" spans="4:8" x14ac:dyDescent="0.25">
      <c r="D32" s="15">
        <f t="shared" si="4"/>
        <v>3.600000000000001</v>
      </c>
      <c r="E32" s="15">
        <f t="shared" si="0"/>
        <v>835.63636363636374</v>
      </c>
      <c r="F32" s="15">
        <f t="shared" si="1"/>
        <v>253.63636363636365</v>
      </c>
      <c r="G32" s="15">
        <f t="shared" si="2"/>
        <v>1173.8591627453616</v>
      </c>
      <c r="H32" s="3">
        <f t="shared" si="3"/>
        <v>18361513.785123974</v>
      </c>
    </row>
    <row r="33" spans="4:8" x14ac:dyDescent="0.25">
      <c r="D33" s="15">
        <f t="shared" si="4"/>
        <v>3.7800000000000011</v>
      </c>
      <c r="E33" s="15">
        <f t="shared" si="0"/>
        <v>856.2724676427332</v>
      </c>
      <c r="F33" s="15">
        <f t="shared" si="1"/>
        <v>259.89993306388442</v>
      </c>
      <c r="G33" s="15">
        <f t="shared" si="2"/>
        <v>1180.1227321728825</v>
      </c>
      <c r="H33" s="3">
        <f t="shared" si="3"/>
        <v>19247870.903117001</v>
      </c>
    </row>
    <row r="34" spans="4:8" x14ac:dyDescent="0.25">
      <c r="D34" s="15">
        <f t="shared" si="4"/>
        <v>3.9600000000000013</v>
      </c>
      <c r="E34" s="15">
        <f t="shared" si="0"/>
        <v>876.42281203454866</v>
      </c>
      <c r="F34" s="15">
        <f t="shared" si="1"/>
        <v>266.01606239952037</v>
      </c>
      <c r="G34" s="15">
        <f t="shared" si="2"/>
        <v>1186.2388615085183</v>
      </c>
      <c r="H34" s="3">
        <f t="shared" si="3"/>
        <v>20133499.381688196</v>
      </c>
    </row>
    <row r="35" spans="4:8" x14ac:dyDescent="0.25">
      <c r="D35" s="15">
        <f t="shared" si="4"/>
        <v>4.1400000000000015</v>
      </c>
      <c r="E35" s="15">
        <f t="shared" si="0"/>
        <v>896.12016608606461</v>
      </c>
      <c r="F35" s="15">
        <f t="shared" si="1"/>
        <v>271.9946979308225</v>
      </c>
      <c r="G35" s="15">
        <f t="shared" si="2"/>
        <v>1192.2174970398205</v>
      </c>
      <c r="H35" s="3">
        <f t="shared" si="3"/>
        <v>21018448.374748942</v>
      </c>
    </row>
    <row r="36" spans="4:8" x14ac:dyDescent="0.25">
      <c r="D36" s="15">
        <f t="shared" si="4"/>
        <v>4.3200000000000012</v>
      </c>
      <c r="E36" s="15">
        <f t="shared" si="0"/>
        <v>915.39377247045229</v>
      </c>
      <c r="F36" s="15">
        <f t="shared" si="1"/>
        <v>277.84471553443888</v>
      </c>
      <c r="G36" s="15">
        <f t="shared" si="2"/>
        <v>1198.0675146434369</v>
      </c>
      <c r="H36" s="3">
        <f t="shared" si="3"/>
        <v>21902761.74630899</v>
      </c>
    </row>
    <row r="37" spans="4:8" x14ac:dyDescent="0.25">
      <c r="D37" s="15">
        <f t="shared" si="4"/>
        <v>4.5000000000000009</v>
      </c>
      <c r="E37" s="15">
        <f t="shared" si="0"/>
        <v>934.26985678082121</v>
      </c>
      <c r="F37" s="15">
        <f t="shared" si="1"/>
        <v>283.57407532838243</v>
      </c>
      <c r="G37" s="15">
        <f t="shared" si="2"/>
        <v>1203.7968744373804</v>
      </c>
      <c r="H37" s="3">
        <f t="shared" si="3"/>
        <v>22786478.83475801</v>
      </c>
    </row>
    <row r="38" spans="4:8" x14ac:dyDescent="0.25">
      <c r="D38" s="15">
        <f t="shared" si="4"/>
        <v>4.6800000000000006</v>
      </c>
      <c r="E38" s="15">
        <f t="shared" si="0"/>
        <v>952.77204613738888</v>
      </c>
      <c r="F38" s="15">
        <f t="shared" si="1"/>
        <v>289.18994872969051</v>
      </c>
      <c r="G38" s="15">
        <f t="shared" si="2"/>
        <v>1209.4127478386886</v>
      </c>
      <c r="H38" s="3">
        <f t="shared" si="3"/>
        <v>23669635.080776338</v>
      </c>
    </row>
    <row r="39" spans="4:8" x14ac:dyDescent="0.25">
      <c r="D39" s="15">
        <f t="shared" si="4"/>
        <v>4.8600000000000003</v>
      </c>
      <c r="E39" s="15">
        <f t="shared" si="0"/>
        <v>970.92171595468847</v>
      </c>
      <c r="F39" s="15">
        <f t="shared" si="1"/>
        <v>294.6988237068735</v>
      </c>
      <c r="G39" s="15">
        <f t="shared" si="2"/>
        <v>1214.9216228158714</v>
      </c>
      <c r="H39" s="3">
        <f t="shared" si="3"/>
        <v>24552262.547485754</v>
      </c>
    </row>
    <row r="40" spans="4:8" x14ac:dyDescent="0.25">
      <c r="D40" s="15">
        <f t="shared" si="4"/>
        <v>5.04</v>
      </c>
      <c r="E40" s="15">
        <f t="shared" si="0"/>
        <v>988.73827938639397</v>
      </c>
      <c r="F40" s="15">
        <f t="shared" si="1"/>
        <v>300.10659263359872</v>
      </c>
      <c r="G40" s="15">
        <f t="shared" si="2"/>
        <v>1220.3293917425967</v>
      </c>
      <c r="H40" s="3">
        <f t="shared" si="3"/>
        <v>25434390.35461678</v>
      </c>
    </row>
    <row r="41" spans="4:8" x14ac:dyDescent="0.25">
      <c r="D41" s="15">
        <f t="shared" si="4"/>
        <v>5.22</v>
      </c>
      <c r="E41" s="15">
        <f t="shared" si="0"/>
        <v>1006.2394306205343</v>
      </c>
      <c r="F41" s="15">
        <f t="shared" si="1"/>
        <v>305.41862613482277</v>
      </c>
      <c r="G41" s="15">
        <f t="shared" si="2"/>
        <v>1225.6414252438208</v>
      </c>
      <c r="H41" s="3">
        <f t="shared" si="3"/>
        <v>26316045.043451458</v>
      </c>
    </row>
    <row r="42" spans="4:8" x14ac:dyDescent="0.25">
      <c r="D42" s="15">
        <f t="shared" si="4"/>
        <v>5.3999999999999995</v>
      </c>
      <c r="E42" s="15">
        <f t="shared" si="0"/>
        <v>1023.4413507119533</v>
      </c>
      <c r="F42" s="15">
        <f t="shared" si="1"/>
        <v>310.63983556204852</v>
      </c>
      <c r="G42" s="15">
        <f t="shared" si="2"/>
        <v>1230.8626346710464</v>
      </c>
      <c r="H42" s="3">
        <f t="shared" si="3"/>
        <v>27197250.885572061</v>
      </c>
    </row>
    <row r="43" spans="4:8" x14ac:dyDescent="0.25">
      <c r="D43" s="15">
        <f t="shared" si="4"/>
        <v>5.5799999999999992</v>
      </c>
      <c r="E43" s="15">
        <f t="shared" si="0"/>
        <v>1040.358882770113</v>
      </c>
      <c r="F43" s="15">
        <f t="shared" si="1"/>
        <v>315.77472616716875</v>
      </c>
      <c r="G43" s="15">
        <f t="shared" si="2"/>
        <v>1235.9975252761667</v>
      </c>
      <c r="H43" s="3">
        <f t="shared" si="3"/>
        <v>28078030.14564278</v>
      </c>
    </row>
    <row r="44" spans="4:8" x14ac:dyDescent="0.25">
      <c r="D44" s="15">
        <f t="shared" si="4"/>
        <v>5.7599999999999989</v>
      </c>
      <c r="E44" s="15">
        <f t="shared" ref="E44:E62" si="5">1000000000*SQRT(D44/1000/Km)</f>
        <v>1057.0056819006452</v>
      </c>
      <c r="F44" s="15">
        <f t="shared" ref="F44:F62" si="6">1000000000*SQRT(D44/1000/Kmunload)</f>
        <v>320.82744261344646</v>
      </c>
      <c r="G44" s="15">
        <f t="shared" ref="G44:G62" si="7">F44+(dMax-uDMax)</f>
        <v>1241.0502417224443</v>
      </c>
      <c r="H44" s="3">
        <f t="shared" ref="H44:H62" si="8">AreaF2*E44^2+AreaF1*E44</f>
        <v>28958403.306322038</v>
      </c>
    </row>
    <row r="45" spans="4:8" x14ac:dyDescent="0.25">
      <c r="D45" s="15">
        <f t="shared" ref="D45:D62" si="9">D44+PMax/50</f>
        <v>5.9399999999999986</v>
      </c>
      <c r="E45" s="15">
        <f t="shared" si="5"/>
        <v>1073.3943442099078</v>
      </c>
      <c r="F45" s="15">
        <f t="shared" si="6"/>
        <v>325.80180813159734</v>
      </c>
      <c r="G45" s="15">
        <f t="shared" si="7"/>
        <v>1246.0246072405953</v>
      </c>
      <c r="H45" s="3">
        <f t="shared" si="8"/>
        <v>29838389.261769403</v>
      </c>
    </row>
    <row r="46" spans="4:8" x14ac:dyDescent="0.25">
      <c r="D46" s="15">
        <f t="shared" si="9"/>
        <v>6.1199999999999983</v>
      </c>
      <c r="E46" s="15">
        <f t="shared" si="5"/>
        <v>1089.5365183385952</v>
      </c>
      <c r="F46" s="15">
        <f t="shared" si="6"/>
        <v>330.70135837300705</v>
      </c>
      <c r="G46" s="15">
        <f t="shared" si="7"/>
        <v>1250.9241574820051</v>
      </c>
      <c r="H46" s="3">
        <f t="shared" si="8"/>
        <v>30718005.484945904</v>
      </c>
    </row>
    <row r="47" spans="4:8" x14ac:dyDescent="0.25">
      <c r="D47" s="15">
        <f t="shared" si="9"/>
        <v>6.299999999999998</v>
      </c>
      <c r="E47" s="15">
        <f t="shared" si="5"/>
        <v>1105.4430023320779</v>
      </c>
      <c r="F47" s="15">
        <f t="shared" si="6"/>
        <v>335.52937081228214</v>
      </c>
      <c r="G47" s="15">
        <f t="shared" si="7"/>
        <v>1255.75216992128</v>
      </c>
      <c r="H47" s="3">
        <f t="shared" si="8"/>
        <v>31597268.172919597</v>
      </c>
    </row>
    <row r="48" spans="4:8" x14ac:dyDescent="0.25">
      <c r="D48" s="15">
        <f t="shared" si="9"/>
        <v>6.4799999999999978</v>
      </c>
      <c r="E48" s="15">
        <f t="shared" si="5"/>
        <v>1121.1238281369854</v>
      </c>
      <c r="F48" s="15">
        <f t="shared" si="6"/>
        <v>340.28889039405885</v>
      </c>
      <c r="G48" s="15">
        <f t="shared" si="7"/>
        <v>1260.5116895030569</v>
      </c>
      <c r="H48" s="3">
        <f t="shared" si="8"/>
        <v>32476192.373610429</v>
      </c>
    </row>
    <row r="49" spans="4:8" x14ac:dyDescent="0.25">
      <c r="D49" s="15">
        <f t="shared" si="9"/>
        <v>6.6599999999999975</v>
      </c>
      <c r="E49" s="15">
        <f t="shared" si="5"/>
        <v>1136.5883356026925</v>
      </c>
      <c r="F49" s="15">
        <f t="shared" si="6"/>
        <v>344.9827519942898</v>
      </c>
      <c r="G49" s="15">
        <f t="shared" si="7"/>
        <v>1265.2055511032877</v>
      </c>
      <c r="H49" s="3">
        <f t="shared" si="8"/>
        <v>33354792.096792463</v>
      </c>
    </row>
    <row r="50" spans="4:8" x14ac:dyDescent="0.25">
      <c r="D50" s="15">
        <f t="shared" si="9"/>
        <v>6.8399999999999972</v>
      </c>
      <c r="E50" s="15">
        <f t="shared" si="5"/>
        <v>1151.8452375383029</v>
      </c>
      <c r="F50" s="15">
        <f t="shared" si="6"/>
        <v>349.61360016665191</v>
      </c>
      <c r="G50" s="15">
        <f t="shared" si="7"/>
        <v>1269.8363992756499</v>
      </c>
      <c r="H50" s="3">
        <f t="shared" si="8"/>
        <v>34233080.41167935</v>
      </c>
    </row>
    <row r="51" spans="4:8" x14ac:dyDescent="0.25">
      <c r="D51" s="15">
        <f t="shared" si="9"/>
        <v>7.0199999999999969</v>
      </c>
      <c r="E51" s="15">
        <f t="shared" si="5"/>
        <v>1166.9026771120371</v>
      </c>
      <c r="F51" s="15">
        <f t="shared" si="6"/>
        <v>354.18390656468489</v>
      </c>
      <c r="G51" s="15">
        <f t="shared" si="7"/>
        <v>1274.4067056736828</v>
      </c>
      <c r="H51" s="3">
        <f t="shared" si="8"/>
        <v>35111069.53302341</v>
      </c>
    </row>
    <row r="52" spans="4:8" x14ac:dyDescent="0.25">
      <c r="D52" s="15">
        <f t="shared" si="9"/>
        <v>7.1999999999999966</v>
      </c>
      <c r="E52" s="15">
        <f t="shared" si="5"/>
        <v>1181.7682786666805</v>
      </c>
      <c r="F52" s="15">
        <f t="shared" si="6"/>
        <v>358.69598536553951</v>
      </c>
      <c r="G52" s="15">
        <f t="shared" si="7"/>
        <v>1278.9187844745375</v>
      </c>
      <c r="H52" s="3">
        <f t="shared" si="8"/>
        <v>35988770.897338845</v>
      </c>
    </row>
    <row r="53" spans="4:8" x14ac:dyDescent="0.25">
      <c r="D53" s="15">
        <f t="shared" si="9"/>
        <v>7.3799999999999963</v>
      </c>
      <c r="E53" s="15">
        <f t="shared" si="5"/>
        <v>1196.4491928512382</v>
      </c>
      <c r="F53" s="15">
        <f t="shared" si="6"/>
        <v>363.1520069685547</v>
      </c>
      <c r="G53" s="15">
        <f t="shared" si="7"/>
        <v>1283.3748060775526</v>
      </c>
      <c r="H53" s="3">
        <f t="shared" si="8"/>
        <v>36866195.230599158</v>
      </c>
    </row>
    <row r="54" spans="4:8" x14ac:dyDescent="0.25">
      <c r="D54" s="15">
        <f t="shared" si="9"/>
        <v>7.5599999999999961</v>
      </c>
      <c r="E54" s="15">
        <f t="shared" si="5"/>
        <v>1210.95213682703</v>
      </c>
      <c r="F54" s="15">
        <f t="shared" si="6"/>
        <v>367.5540101988048</v>
      </c>
      <c r="G54" s="15">
        <f t="shared" si="7"/>
        <v>1287.7768093078028</v>
      </c>
      <c r="H54" s="3">
        <f t="shared" si="8"/>
        <v>37743352.608546324</v>
      </c>
    </row>
    <row r="55" spans="4:8" x14ac:dyDescent="0.25">
      <c r="D55" s="15">
        <f t="shared" si="9"/>
        <v>7.7399999999999958</v>
      </c>
      <c r="E55" s="15">
        <f t="shared" si="5"/>
        <v>1225.2834301897337</v>
      </c>
      <c r="F55" s="15">
        <f t="shared" si="6"/>
        <v>371.90391321033042</v>
      </c>
      <c r="G55" s="15">
        <f t="shared" si="7"/>
        <v>1292.1267123193284</v>
      </c>
      <c r="H55" s="3">
        <f t="shared" si="8"/>
        <v>38620252.510573842</v>
      </c>
    </row>
    <row r="56" spans="4:8" x14ac:dyDescent="0.25">
      <c r="D56" s="15">
        <f t="shared" si="9"/>
        <v>7.9199999999999955</v>
      </c>
      <c r="E56" s="15">
        <f t="shared" si="5"/>
        <v>1239.4490271524237</v>
      </c>
      <c r="F56" s="15">
        <f t="shared" si="6"/>
        <v>376.20352325448903</v>
      </c>
      <c r="G56" s="15">
        <f t="shared" si="7"/>
        <v>1296.4263223634871</v>
      </c>
      <c r="H56" s="3">
        <f t="shared" si="8"/>
        <v>39496903.868001327</v>
      </c>
    </row>
    <row r="57" spans="4:8" x14ac:dyDescent="0.25">
      <c r="D57" s="15">
        <f t="shared" si="9"/>
        <v>8.0999999999999961</v>
      </c>
      <c r="E57" s="15">
        <f t="shared" si="5"/>
        <v>1253.454545454545</v>
      </c>
      <c r="F57" s="15">
        <f t="shared" si="6"/>
        <v>380.45454545454538</v>
      </c>
      <c r="G57" s="15">
        <f t="shared" si="7"/>
        <v>1300.6773445635433</v>
      </c>
      <c r="H57" s="3">
        <f t="shared" si="8"/>
        <v>40373315.107437991</v>
      </c>
    </row>
    <row r="58" spans="4:8" x14ac:dyDescent="0.25">
      <c r="D58" s="15">
        <f t="shared" si="9"/>
        <v>8.2799999999999958</v>
      </c>
      <c r="E58" s="15">
        <f t="shared" si="5"/>
        <v>1267.3052923949424</v>
      </c>
      <c r="F58" s="15">
        <f t="shared" si="6"/>
        <v>384.65859070734223</v>
      </c>
      <c r="G58" s="15">
        <f t="shared" si="7"/>
        <v>1304.8813898163403</v>
      </c>
      <c r="H58" s="3">
        <f t="shared" si="8"/>
        <v>41249494.189832062</v>
      </c>
    </row>
    <row r="59" spans="4:8" x14ac:dyDescent="0.25">
      <c r="D59" s="15">
        <f t="shared" si="9"/>
        <v>8.4599999999999955</v>
      </c>
      <c r="E59" s="15">
        <f t="shared" si="5"/>
        <v>1281.006288331092</v>
      </c>
      <c r="F59" s="15">
        <f t="shared" si="6"/>
        <v>388.81718281589934</v>
      </c>
      <c r="G59" s="15">
        <f t="shared" si="7"/>
        <v>1309.0399819248973</v>
      </c>
      <c r="H59" s="3">
        <f t="shared" si="8"/>
        <v>42125448.645719759</v>
      </c>
    </row>
    <row r="60" spans="4:8" x14ac:dyDescent="0.25">
      <c r="D60" s="15">
        <f t="shared" si="9"/>
        <v>8.6399999999999952</v>
      </c>
      <c r="E60" s="15">
        <f t="shared" si="5"/>
        <v>1294.5622879395842</v>
      </c>
      <c r="F60" s="15">
        <f t="shared" si="6"/>
        <v>392.93176494249786</v>
      </c>
      <c r="G60" s="15">
        <f t="shared" si="7"/>
        <v>1313.1545640514958</v>
      </c>
      <c r="H60" s="3">
        <f t="shared" si="8"/>
        <v>43001185.607115962</v>
      </c>
    </row>
    <row r="61" spans="4:8" x14ac:dyDescent="0.25">
      <c r="D61" s="15">
        <f t="shared" si="9"/>
        <v>8.819999999999995</v>
      </c>
      <c r="E61" s="15">
        <f t="shared" si="5"/>
        <v>1307.9777994931494</v>
      </c>
      <c r="F61" s="15">
        <f t="shared" si="6"/>
        <v>397.00370545973527</v>
      </c>
      <c r="G61" s="15">
        <f t="shared" si="7"/>
        <v>1317.2265045687332</v>
      </c>
      <c r="H61" s="3">
        <f t="shared" si="8"/>
        <v>43876711.83642979</v>
      </c>
    </row>
    <row r="62" spans="4:8" x14ac:dyDescent="0.25">
      <c r="D62" s="15">
        <f t="shared" si="9"/>
        <v>8.9999999999999947</v>
      </c>
      <c r="E62" s="15">
        <f t="shared" si="5"/>
        <v>1321.257102375806</v>
      </c>
      <c r="F62" s="15">
        <f t="shared" si="6"/>
        <v>401.03430326680802</v>
      </c>
      <c r="G62" s="15">
        <f t="shared" si="7"/>
        <v>1321.257102375806</v>
      </c>
      <c r="H62" s="3">
        <f t="shared" si="8"/>
        <v>44752033.752737232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" sqref="C1"/>
    </sheetView>
  </sheetViews>
  <sheetFormatPr defaultRowHeight="15" x14ac:dyDescent="0.25"/>
  <cols>
    <col min="3" max="3" width="12" bestFit="1" customWidth="1"/>
    <col min="5" max="5" width="12" bestFit="1" customWidth="1"/>
  </cols>
  <sheetData>
    <row r="1" spans="1:11" x14ac:dyDescent="0.25">
      <c r="C1" s="14" t="s">
        <v>692</v>
      </c>
    </row>
    <row r="3" spans="1:11" x14ac:dyDescent="0.25">
      <c r="A3" t="s">
        <v>681</v>
      </c>
      <c r="C3" s="2">
        <v>10000</v>
      </c>
      <c r="D3" t="s">
        <v>1</v>
      </c>
      <c r="E3">
        <f>C3/1000000000</f>
        <v>1.0000000000000001E-5</v>
      </c>
      <c r="F3" t="s">
        <v>3</v>
      </c>
    </row>
    <row r="4" spans="1:11" x14ac:dyDescent="0.25">
      <c r="A4" t="s">
        <v>682</v>
      </c>
      <c r="C4" s="2">
        <v>140</v>
      </c>
      <c r="D4" t="s">
        <v>1</v>
      </c>
      <c r="E4">
        <f>C4/1000000000</f>
        <v>1.4000000000000001E-7</v>
      </c>
      <c r="F4" t="s">
        <v>3</v>
      </c>
    </row>
    <row r="5" spans="1:11" x14ac:dyDescent="0.25">
      <c r="A5" t="s">
        <v>253</v>
      </c>
      <c r="C5" s="2">
        <v>200</v>
      </c>
      <c r="D5" t="s">
        <v>254</v>
      </c>
      <c r="E5">
        <f>C5/1000</f>
        <v>0.2</v>
      </c>
      <c r="F5" t="s">
        <v>507</v>
      </c>
    </row>
    <row r="6" spans="1:11" x14ac:dyDescent="0.25">
      <c r="A6" t="s">
        <v>683</v>
      </c>
      <c r="C6" s="2">
        <v>1</v>
      </c>
      <c r="D6" t="s">
        <v>684</v>
      </c>
      <c r="E6">
        <f>C6</f>
        <v>1</v>
      </c>
      <c r="F6" t="s">
        <v>684</v>
      </c>
    </row>
    <row r="7" spans="1:11" x14ac:dyDescent="0.25">
      <c r="A7" t="s">
        <v>0</v>
      </c>
      <c r="C7" s="2">
        <v>250</v>
      </c>
      <c r="D7" t="s">
        <v>295</v>
      </c>
      <c r="E7">
        <f>C7/1000000</f>
        <v>2.5000000000000001E-4</v>
      </c>
    </row>
    <row r="8" spans="1:11" x14ac:dyDescent="0.25">
      <c r="G8" s="14" t="s">
        <v>687</v>
      </c>
      <c r="H8" s="14"/>
      <c r="I8" s="14">
        <f>3*PI()*sRadius^4*sViscosity/(16*sForce)*(1/fThick^2-1/oThick^2)</f>
        <v>2.3474695831396154E-2</v>
      </c>
      <c r="J8" t="s">
        <v>94</v>
      </c>
    </row>
    <row r="9" spans="1:11" x14ac:dyDescent="0.25">
      <c r="A9" t="s">
        <v>523</v>
      </c>
      <c r="C9" s="2">
        <v>10</v>
      </c>
      <c r="D9" t="s">
        <v>524</v>
      </c>
      <c r="E9">
        <f>C9/60</f>
        <v>0.16666666666666666</v>
      </c>
      <c r="F9" t="s">
        <v>263</v>
      </c>
      <c r="G9" s="14" t="s">
        <v>688</v>
      </c>
      <c r="H9" s="14"/>
      <c r="I9" s="14">
        <f>E10/E9</f>
        <v>3.0000000000000002E-2</v>
      </c>
      <c r="J9" t="s">
        <v>94</v>
      </c>
    </row>
    <row r="10" spans="1:11" x14ac:dyDescent="0.25">
      <c r="A10" t="s">
        <v>686</v>
      </c>
      <c r="C10" s="2">
        <v>5</v>
      </c>
      <c r="D10" t="s">
        <v>248</v>
      </c>
      <c r="E10">
        <f>C10/1000</f>
        <v>5.0000000000000001E-3</v>
      </c>
      <c r="F10" t="s">
        <v>3</v>
      </c>
      <c r="G10" s="14"/>
      <c r="H10" s="14"/>
      <c r="I10" s="14" t="str">
        <f>IF(I9&gt;I8,"OK","Not OK")</f>
        <v>OK</v>
      </c>
    </row>
    <row r="11" spans="1:11" x14ac:dyDescent="0.25">
      <c r="A11" t="s">
        <v>690</v>
      </c>
      <c r="C11" s="2">
        <v>10</v>
      </c>
      <c r="D11" t="s">
        <v>21</v>
      </c>
    </row>
    <row r="12" spans="1:11" x14ac:dyDescent="0.25">
      <c r="G12" s="14" t="s">
        <v>689</v>
      </c>
      <c r="H12" s="14"/>
      <c r="I12" s="14">
        <f>1000*C10/2*C11/100</f>
        <v>250</v>
      </c>
      <c r="J12" s="14" t="s">
        <v>295</v>
      </c>
      <c r="K12" t="s">
        <v>691</v>
      </c>
    </row>
    <row r="14" spans="1:11" x14ac:dyDescent="0.25">
      <c r="C14" t="s">
        <v>693</v>
      </c>
      <c r="D14" t="s">
        <v>694</v>
      </c>
    </row>
    <row r="15" spans="1:11" x14ac:dyDescent="0.25">
      <c r="C15" s="15">
        <f>C3</f>
        <v>10000</v>
      </c>
      <c r="D15">
        <v>0</v>
      </c>
    </row>
    <row r="16" spans="1:11" x14ac:dyDescent="0.25">
      <c r="A16" t="s">
        <v>685</v>
      </c>
      <c r="B16">
        <f>(C4/C3)^(1/20)</f>
        <v>0.80780474857294038</v>
      </c>
      <c r="C16" s="15">
        <f t="shared" ref="C16:C35" si="0">C15*divStep</f>
        <v>8078.0474857294039</v>
      </c>
      <c r="D16">
        <f t="shared" ref="D16:D35" si="1">3*PI()*sRadius^4*sViscosity/(16*sForce)*(1/(C16/1000000000)^2-1/oThick^2)</f>
        <v>2.4503185492413793E-6</v>
      </c>
    </row>
    <row r="17" spans="3:4" x14ac:dyDescent="0.25">
      <c r="C17" s="15">
        <f t="shared" si="0"/>
        <v>6525.4851181699141</v>
      </c>
      <c r="D17">
        <f t="shared" si="1"/>
        <v>6.205316844185885E-6</v>
      </c>
    </row>
    <row r="18" spans="3:4" x14ac:dyDescent="0.25">
      <c r="C18" s="15">
        <f t="shared" si="0"/>
        <v>5271.3178651997114</v>
      </c>
      <c r="D18">
        <f t="shared" si="1"/>
        <v>1.1959675680265191E-5</v>
      </c>
    </row>
    <row r="19" spans="3:4" x14ac:dyDescent="0.25">
      <c r="C19" s="15">
        <f t="shared" si="0"/>
        <v>4258.1956027457018</v>
      </c>
      <c r="D19">
        <f t="shared" si="1"/>
        <v>2.0777960806771046E-5</v>
      </c>
    </row>
    <row r="20" spans="3:4" x14ac:dyDescent="0.25">
      <c r="C20" s="15">
        <f t="shared" si="0"/>
        <v>3439.7906282503918</v>
      </c>
      <c r="D20">
        <f t="shared" si="1"/>
        <v>3.4291569322943655E-5</v>
      </c>
    </row>
    <row r="21" spans="3:4" x14ac:dyDescent="0.25">
      <c r="C21" s="15">
        <f t="shared" si="0"/>
        <v>2778.6792035973644</v>
      </c>
      <c r="D21">
        <f t="shared" si="1"/>
        <v>5.500054079625923E-5</v>
      </c>
    </row>
    <row r="22" spans="3:4" x14ac:dyDescent="0.25">
      <c r="C22" s="15">
        <f t="shared" si="0"/>
        <v>2244.6302554268273</v>
      </c>
      <c r="D22">
        <f t="shared" si="1"/>
        <v>8.6736068650965966E-5</v>
      </c>
    </row>
    <row r="23" spans="3:4" x14ac:dyDescent="0.25">
      <c r="C23" s="15">
        <f t="shared" si="0"/>
        <v>1813.222979124283</v>
      </c>
      <c r="D23">
        <f t="shared" si="1"/>
        <v>1.353692771864366E-4</v>
      </c>
    </row>
    <row r="24" spans="3:4" x14ac:dyDescent="0.25">
      <c r="C24" s="15">
        <f t="shared" si="0"/>
        <v>1464.7301327581695</v>
      </c>
      <c r="D24">
        <f t="shared" si="1"/>
        <v>2.0989738912719286E-4</v>
      </c>
    </row>
    <row r="25" spans="3:4" x14ac:dyDescent="0.25">
      <c r="C25" s="15">
        <f t="shared" si="0"/>
        <v>1183.2159566199227</v>
      </c>
      <c r="D25">
        <f t="shared" si="1"/>
        <v>3.2410822646898081E-4</v>
      </c>
    </row>
    <row r="26" spans="3:4" x14ac:dyDescent="0.25">
      <c r="C26" s="15">
        <f t="shared" si="0"/>
        <v>955.80746834484785</v>
      </c>
      <c r="D26">
        <f t="shared" si="1"/>
        <v>4.9913097998622203E-4</v>
      </c>
    </row>
    <row r="27" spans="3:4" x14ac:dyDescent="0.25">
      <c r="C27" s="15">
        <f t="shared" si="0"/>
        <v>772.10581165044846</v>
      </c>
      <c r="D27">
        <f t="shared" si="1"/>
        <v>7.6734514391082987E-4</v>
      </c>
    </row>
    <row r="28" spans="3:4" x14ac:dyDescent="0.25">
      <c r="C28" s="15">
        <f t="shared" si="0"/>
        <v>623.71074105199659</v>
      </c>
      <c r="D28">
        <f t="shared" si="1"/>
        <v>1.1783707750593522E-3</v>
      </c>
    </row>
    <row r="29" spans="3:4" x14ac:dyDescent="0.25">
      <c r="C29" s="15">
        <f t="shared" si="0"/>
        <v>503.83649835775043</v>
      </c>
      <c r="D29">
        <f t="shared" si="1"/>
        <v>1.8082482840954853E-3</v>
      </c>
    </row>
    <row r="30" spans="3:4" x14ac:dyDescent="0.25">
      <c r="C30" s="15">
        <f t="shared" si="0"/>
        <v>407.00151587775326</v>
      </c>
      <c r="D30">
        <f t="shared" si="1"/>
        <v>2.773506035250672E-3</v>
      </c>
    </row>
    <row r="31" spans="3:4" x14ac:dyDescent="0.25">
      <c r="C31" s="15">
        <f t="shared" si="0"/>
        <v>328.77775720243409</v>
      </c>
      <c r="D31">
        <f t="shared" si="1"/>
        <v>4.252718283344642E-3</v>
      </c>
    </row>
    <row r="32" spans="3:4" x14ac:dyDescent="0.25">
      <c r="C32" s="15">
        <f t="shared" si="0"/>
        <v>265.58823349328753</v>
      </c>
      <c r="D32">
        <f t="shared" si="1"/>
        <v>6.5195417015379824E-3</v>
      </c>
    </row>
    <row r="33" spans="3:4" x14ac:dyDescent="0.25">
      <c r="C33" s="15">
        <f t="shared" si="0"/>
        <v>214.54343618097653</v>
      </c>
      <c r="D33">
        <f t="shared" si="1"/>
        <v>9.9933423112144541E-3</v>
      </c>
    </row>
    <row r="34" spans="3:4" x14ac:dyDescent="0.25">
      <c r="C34" s="15">
        <f t="shared" si="0"/>
        <v>173.30920652214843</v>
      </c>
      <c r="D34">
        <f t="shared" si="1"/>
        <v>1.5316778878411331E-2</v>
      </c>
    </row>
    <row r="35" spans="3:4" x14ac:dyDescent="0.25">
      <c r="C35" s="15">
        <f t="shared" si="0"/>
        <v>139.99999999999991</v>
      </c>
      <c r="D35">
        <f t="shared" si="1"/>
        <v>2.3474695831396192E-2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C1" sqref="C1"/>
    </sheetView>
  </sheetViews>
  <sheetFormatPr defaultRowHeight="15" x14ac:dyDescent="0.25"/>
  <sheetData>
    <row r="1" spans="1:19" x14ac:dyDescent="0.25">
      <c r="C1" s="14" t="s">
        <v>731</v>
      </c>
    </row>
    <row r="2" spans="1:19" x14ac:dyDescent="0.25">
      <c r="E2" t="s">
        <v>541</v>
      </c>
      <c r="G2" s="14" t="s">
        <v>542</v>
      </c>
    </row>
    <row r="3" spans="1:19" x14ac:dyDescent="0.25">
      <c r="E3" s="2">
        <v>10</v>
      </c>
      <c r="F3" t="s">
        <v>543</v>
      </c>
      <c r="G3" t="s">
        <v>544</v>
      </c>
      <c r="K3" s="14" t="s">
        <v>545</v>
      </c>
    </row>
    <row r="4" spans="1:19" x14ac:dyDescent="0.25">
      <c r="B4" t="s">
        <v>546</v>
      </c>
      <c r="K4" t="s">
        <v>496</v>
      </c>
      <c r="L4" t="s">
        <v>547</v>
      </c>
      <c r="N4" s="14" t="s">
        <v>548</v>
      </c>
    </row>
    <row r="5" spans="1:19" x14ac:dyDescent="0.25">
      <c r="B5" s="10" t="s">
        <v>107</v>
      </c>
      <c r="D5" s="10" t="s">
        <v>549</v>
      </c>
      <c r="E5" s="1" t="s">
        <v>550</v>
      </c>
      <c r="F5" s="10" t="s">
        <v>551</v>
      </c>
      <c r="K5" s="2">
        <v>30</v>
      </c>
      <c r="L5" s="2">
        <v>50</v>
      </c>
      <c r="N5" t="s">
        <v>552</v>
      </c>
      <c r="O5" t="s">
        <v>496</v>
      </c>
      <c r="P5" t="s">
        <v>547</v>
      </c>
      <c r="Q5" t="s">
        <v>553</v>
      </c>
      <c r="R5" s="10" t="s">
        <v>51</v>
      </c>
      <c r="S5" t="s">
        <v>554</v>
      </c>
    </row>
    <row r="6" spans="1:19" x14ac:dyDescent="0.25">
      <c r="B6">
        <v>8.3000000000000007</v>
      </c>
      <c r="D6">
        <v>34.4981904412723</v>
      </c>
      <c r="E6">
        <v>99.646645569680359</v>
      </c>
      <c r="F6">
        <v>3.1031908986275079E-2</v>
      </c>
      <c r="J6" t="s">
        <v>555</v>
      </c>
      <c r="K6">
        <f>EXP(lnA-Ea*1000/(AR_*(K5+273))+B*L5)</f>
        <v>2.8079312348695002E-2</v>
      </c>
      <c r="L6" t="s">
        <v>556</v>
      </c>
      <c r="N6" s="2">
        <v>10</v>
      </c>
      <c r="O6" s="2">
        <v>25</v>
      </c>
      <c r="P6" s="2">
        <v>50</v>
      </c>
      <c r="Q6" s="4">
        <f t="shared" ref="Q6:Q24" si="0">IF(N6&gt;0,EXP(lnA-Ea*1000/(AR_*(O6+273))+B*P6)*N6,0)</f>
        <v>0.14443231655829045</v>
      </c>
      <c r="R6" s="4">
        <f>Q6</f>
        <v>0.14443231655829045</v>
      </c>
      <c r="S6">
        <f>N6</f>
        <v>10</v>
      </c>
    </row>
    <row r="7" spans="1:19" x14ac:dyDescent="0.25">
      <c r="J7" t="s">
        <v>552</v>
      </c>
      <c r="K7" s="15">
        <f>Failure_Value/K6</f>
        <v>356.13407749512618</v>
      </c>
      <c r="L7" t="s">
        <v>557</v>
      </c>
      <c r="N7" s="2">
        <v>2</v>
      </c>
      <c r="O7" s="2">
        <v>45</v>
      </c>
      <c r="P7" s="2">
        <v>75</v>
      </c>
      <c r="Q7" s="4">
        <f t="shared" si="0"/>
        <v>0.79073605371074807</v>
      </c>
      <c r="R7" s="4">
        <f>IF(Q7&gt;0,R6+Q7,0)</f>
        <v>0.93516837026903854</v>
      </c>
      <c r="S7">
        <f>IF(N7&gt;0,S6+N7,0)</f>
        <v>12</v>
      </c>
    </row>
    <row r="8" spans="1:19" x14ac:dyDescent="0.25">
      <c r="H8" t="s">
        <v>558</v>
      </c>
      <c r="I8" t="s">
        <v>229</v>
      </c>
      <c r="N8" s="2">
        <v>30</v>
      </c>
      <c r="O8" s="2">
        <v>35</v>
      </c>
      <c r="P8" s="2">
        <v>60</v>
      </c>
      <c r="Q8" s="4">
        <f t="shared" si="0"/>
        <v>2.1858763336112288</v>
      </c>
      <c r="R8" s="4">
        <f t="shared" ref="R8:R24" si="1">IF(Q8&gt;0,R7+Q8,0)</f>
        <v>3.1210447038802673</v>
      </c>
      <c r="S8">
        <f t="shared" ref="S8:S24" si="2">IF(N8&gt;0,S7+N8,0)</f>
        <v>42</v>
      </c>
    </row>
    <row r="9" spans="1:19" x14ac:dyDescent="0.25">
      <c r="D9" t="s">
        <v>496</v>
      </c>
      <c r="E9" t="s">
        <v>547</v>
      </c>
      <c r="F9" t="s">
        <v>552</v>
      </c>
      <c r="G9" t="s">
        <v>559</v>
      </c>
      <c r="H9" t="s">
        <v>552</v>
      </c>
      <c r="I9" s="45">
        <f>SUM(I10:I24)</f>
        <v>0.56800201315149557</v>
      </c>
      <c r="J9" t="s">
        <v>560</v>
      </c>
      <c r="K9" t="s">
        <v>561</v>
      </c>
      <c r="N9" s="2">
        <v>50</v>
      </c>
      <c r="O9" s="2">
        <v>30</v>
      </c>
      <c r="P9" s="2">
        <v>45</v>
      </c>
      <c r="Q9" s="4">
        <f t="shared" si="0"/>
        <v>1.2021856455085773</v>
      </c>
      <c r="R9" s="4">
        <f t="shared" si="1"/>
        <v>4.3232303493888447</v>
      </c>
      <c r="S9">
        <f t="shared" si="2"/>
        <v>92</v>
      </c>
    </row>
    <row r="10" spans="1:19" x14ac:dyDescent="0.25">
      <c r="A10" t="s">
        <v>562</v>
      </c>
      <c r="D10" s="2">
        <v>50</v>
      </c>
      <c r="E10" s="2">
        <v>75</v>
      </c>
      <c r="F10" s="2">
        <v>14</v>
      </c>
      <c r="G10" s="4">
        <f t="shared" ref="G10:G24" si="3">IF(F10&gt;0,lnA-Ea*1000/(AR_*(D10+273))+B*E10,0)</f>
        <v>-0.34351839142660223</v>
      </c>
      <c r="H10">
        <f t="shared" ref="H10:H24" si="4">IF(F10&gt;0,Failure_Value/EXP(G10),0)</f>
        <v>14.098994523067203</v>
      </c>
      <c r="I10">
        <f>(F10-H10)^2</f>
        <v>9.7999155973030137E-3</v>
      </c>
      <c r="K10" t="s">
        <v>563</v>
      </c>
      <c r="N10" s="2">
        <v>2</v>
      </c>
      <c r="O10" s="2">
        <v>40</v>
      </c>
      <c r="P10" s="2">
        <v>80</v>
      </c>
      <c r="Q10" s="4">
        <f t="shared" si="0"/>
        <v>0.50523939518847205</v>
      </c>
      <c r="R10" s="4">
        <f t="shared" si="1"/>
        <v>4.8284697445773164</v>
      </c>
      <c r="S10">
        <f t="shared" si="2"/>
        <v>94</v>
      </c>
    </row>
    <row r="11" spans="1:19" x14ac:dyDescent="0.25">
      <c r="A11" t="s">
        <v>541</v>
      </c>
      <c r="D11" s="2">
        <v>60</v>
      </c>
      <c r="E11" s="2">
        <v>40</v>
      </c>
      <c r="F11" s="2">
        <v>14</v>
      </c>
      <c r="G11" s="4">
        <f t="shared" si="3"/>
        <v>-0.31344595649669671</v>
      </c>
      <c r="H11">
        <f t="shared" si="4"/>
        <v>13.681315221433806</v>
      </c>
      <c r="I11">
        <f t="shared" ref="I11:I24" si="5">(F11-H11)^2</f>
        <v>0.10155998808978406</v>
      </c>
      <c r="N11" s="2">
        <v>3</v>
      </c>
      <c r="O11" s="2">
        <v>45</v>
      </c>
      <c r="P11" s="2">
        <v>80</v>
      </c>
      <c r="Q11" s="4">
        <f t="shared" si="0"/>
        <v>1.3851848539660601</v>
      </c>
      <c r="R11" s="4">
        <f t="shared" si="1"/>
        <v>6.2136545985433767</v>
      </c>
      <c r="S11">
        <f t="shared" si="2"/>
        <v>97</v>
      </c>
    </row>
    <row r="12" spans="1:19" x14ac:dyDescent="0.25">
      <c r="A12" t="s">
        <v>564</v>
      </c>
      <c r="D12" s="2">
        <v>70</v>
      </c>
      <c r="E12" s="2">
        <v>5</v>
      </c>
      <c r="F12" s="2">
        <v>14</v>
      </c>
      <c r="G12" s="4">
        <f t="shared" si="3"/>
        <v>-0.34845744281748781</v>
      </c>
      <c r="H12">
        <f t="shared" si="4"/>
        <v>14.168802432092413</v>
      </c>
      <c r="I12">
        <f t="shared" si="5"/>
        <v>2.8494261080313655E-2</v>
      </c>
      <c r="N12" s="2">
        <v>30</v>
      </c>
      <c r="O12" s="2">
        <v>35</v>
      </c>
      <c r="P12" s="2">
        <v>60</v>
      </c>
      <c r="Q12">
        <f t="shared" si="0"/>
        <v>2.1858763336112288</v>
      </c>
      <c r="R12" s="4">
        <f t="shared" si="1"/>
        <v>8.3995309321546046</v>
      </c>
      <c r="S12">
        <f t="shared" si="2"/>
        <v>127</v>
      </c>
    </row>
    <row r="13" spans="1:19" x14ac:dyDescent="0.25">
      <c r="D13" s="2">
        <v>70</v>
      </c>
      <c r="E13" s="2">
        <v>75</v>
      </c>
      <c r="F13" s="2">
        <v>1</v>
      </c>
      <c r="G13" s="4">
        <f t="shared" si="3"/>
        <v>1.8237761862217678</v>
      </c>
      <c r="H13">
        <f t="shared" si="4"/>
        <v>1.614150652826803</v>
      </c>
      <c r="I13">
        <f t="shared" si="5"/>
        <v>0.37718102436758832</v>
      </c>
      <c r="N13" s="2">
        <v>2</v>
      </c>
      <c r="O13" s="2">
        <v>40</v>
      </c>
      <c r="P13" s="2">
        <v>80</v>
      </c>
      <c r="Q13">
        <f t="shared" si="0"/>
        <v>0.50523939518847205</v>
      </c>
      <c r="R13" s="4">
        <f t="shared" si="1"/>
        <v>8.9047703273430763</v>
      </c>
      <c r="S13">
        <f t="shared" si="2"/>
        <v>129</v>
      </c>
    </row>
    <row r="14" spans="1:19" x14ac:dyDescent="0.25">
      <c r="D14" s="2">
        <v>80</v>
      </c>
      <c r="E14" s="2">
        <v>40</v>
      </c>
      <c r="F14" s="2">
        <v>2</v>
      </c>
      <c r="G14" s="4">
        <f t="shared" si="3"/>
        <v>1.7292119900880074</v>
      </c>
      <c r="H14">
        <f t="shared" si="4"/>
        <v>1.7742416689986691</v>
      </c>
      <c r="I14">
        <f t="shared" si="5"/>
        <v>5.0966824016506491E-2</v>
      </c>
      <c r="N14" s="2">
        <v>3</v>
      </c>
      <c r="O14" s="2">
        <v>45</v>
      </c>
      <c r="P14" s="2">
        <v>80</v>
      </c>
      <c r="Q14">
        <f t="shared" si="0"/>
        <v>1.3851848539660601</v>
      </c>
      <c r="R14" s="4">
        <f t="shared" si="1"/>
        <v>10.289955181309136</v>
      </c>
      <c r="S14">
        <f t="shared" si="2"/>
        <v>132</v>
      </c>
    </row>
    <row r="15" spans="1:19" x14ac:dyDescent="0.25">
      <c r="A15" t="s">
        <v>565</v>
      </c>
      <c r="D15" s="2"/>
      <c r="E15" s="2"/>
      <c r="F15" s="2"/>
      <c r="G15" s="4">
        <f t="shared" si="3"/>
        <v>0</v>
      </c>
      <c r="H15">
        <f t="shared" si="4"/>
        <v>0</v>
      </c>
      <c r="I15">
        <f t="shared" si="5"/>
        <v>0</v>
      </c>
      <c r="N15" s="2">
        <v>30</v>
      </c>
      <c r="O15" s="2">
        <v>35</v>
      </c>
      <c r="P15" s="2">
        <v>60</v>
      </c>
      <c r="Q15">
        <f t="shared" si="0"/>
        <v>2.1858763336112288</v>
      </c>
      <c r="R15" s="4">
        <f t="shared" si="1"/>
        <v>12.475831514920365</v>
      </c>
      <c r="S15">
        <f t="shared" si="2"/>
        <v>162</v>
      </c>
    </row>
    <row r="16" spans="1:19" x14ac:dyDescent="0.25">
      <c r="A16" t="s">
        <v>566</v>
      </c>
      <c r="D16" s="2"/>
      <c r="E16" s="2"/>
      <c r="F16" s="2"/>
      <c r="G16" s="4">
        <f t="shared" si="3"/>
        <v>0</v>
      </c>
      <c r="H16">
        <f t="shared" si="4"/>
        <v>0</v>
      </c>
      <c r="I16">
        <f t="shared" si="5"/>
        <v>0</v>
      </c>
      <c r="N16" s="2">
        <v>50</v>
      </c>
      <c r="O16" s="2">
        <v>30</v>
      </c>
      <c r="P16" s="2">
        <v>45</v>
      </c>
      <c r="Q16">
        <f t="shared" si="0"/>
        <v>1.2021856455085773</v>
      </c>
      <c r="R16" s="4">
        <f t="shared" si="1"/>
        <v>13.678017160428944</v>
      </c>
      <c r="S16">
        <f t="shared" si="2"/>
        <v>212</v>
      </c>
    </row>
    <row r="17" spans="4:19" x14ac:dyDescent="0.25">
      <c r="D17" s="2"/>
      <c r="E17" s="2"/>
      <c r="F17" s="2"/>
      <c r="G17" s="4">
        <f t="shared" si="3"/>
        <v>0</v>
      </c>
      <c r="H17">
        <f t="shared" si="4"/>
        <v>0</v>
      </c>
      <c r="I17">
        <f t="shared" si="5"/>
        <v>0</v>
      </c>
      <c r="N17" s="2"/>
      <c r="O17" s="2"/>
      <c r="P17" s="2"/>
      <c r="Q17">
        <f t="shared" si="0"/>
        <v>0</v>
      </c>
      <c r="R17" s="4">
        <f t="shared" si="1"/>
        <v>0</v>
      </c>
      <c r="S17">
        <f t="shared" si="2"/>
        <v>0</v>
      </c>
    </row>
    <row r="18" spans="4:19" x14ac:dyDescent="0.25">
      <c r="D18" s="2"/>
      <c r="E18" s="2"/>
      <c r="F18" s="2"/>
      <c r="G18" s="4">
        <f t="shared" si="3"/>
        <v>0</v>
      </c>
      <c r="H18">
        <f t="shared" si="4"/>
        <v>0</v>
      </c>
      <c r="I18">
        <f t="shared" si="5"/>
        <v>0</v>
      </c>
      <c r="N18" s="2"/>
      <c r="O18" s="2"/>
      <c r="P18" s="2"/>
      <c r="Q18">
        <f t="shared" si="0"/>
        <v>0</v>
      </c>
      <c r="R18" s="4">
        <f t="shared" si="1"/>
        <v>0</v>
      </c>
      <c r="S18">
        <f t="shared" si="2"/>
        <v>0</v>
      </c>
    </row>
    <row r="19" spans="4:19" x14ac:dyDescent="0.25">
      <c r="D19" s="2"/>
      <c r="E19" s="2"/>
      <c r="F19" s="2"/>
      <c r="G19" s="4">
        <f t="shared" si="3"/>
        <v>0</v>
      </c>
      <c r="H19">
        <f t="shared" si="4"/>
        <v>0</v>
      </c>
      <c r="I19">
        <f t="shared" si="5"/>
        <v>0</v>
      </c>
      <c r="N19" s="2"/>
      <c r="O19" s="2"/>
      <c r="P19" s="2"/>
      <c r="Q19">
        <f t="shared" si="0"/>
        <v>0</v>
      </c>
      <c r="R19" s="4">
        <f t="shared" si="1"/>
        <v>0</v>
      </c>
      <c r="S19">
        <f t="shared" si="2"/>
        <v>0</v>
      </c>
    </row>
    <row r="20" spans="4:19" x14ac:dyDescent="0.25">
      <c r="D20" s="2"/>
      <c r="E20" s="2"/>
      <c r="F20" s="2"/>
      <c r="G20" s="4">
        <f t="shared" si="3"/>
        <v>0</v>
      </c>
      <c r="H20">
        <f t="shared" si="4"/>
        <v>0</v>
      </c>
      <c r="I20">
        <f t="shared" si="5"/>
        <v>0</v>
      </c>
      <c r="N20" s="2"/>
      <c r="O20" s="2"/>
      <c r="P20" s="2"/>
      <c r="Q20">
        <f t="shared" si="0"/>
        <v>0</v>
      </c>
      <c r="R20" s="4">
        <f t="shared" si="1"/>
        <v>0</v>
      </c>
      <c r="S20">
        <f t="shared" si="2"/>
        <v>0</v>
      </c>
    </row>
    <row r="21" spans="4:19" x14ac:dyDescent="0.25">
      <c r="D21" s="2"/>
      <c r="E21" s="2"/>
      <c r="F21" s="2"/>
      <c r="G21" s="4">
        <f t="shared" si="3"/>
        <v>0</v>
      </c>
      <c r="H21">
        <f t="shared" si="4"/>
        <v>0</v>
      </c>
      <c r="I21">
        <f t="shared" si="5"/>
        <v>0</v>
      </c>
      <c r="N21" s="2"/>
      <c r="O21" s="2"/>
      <c r="P21" s="2"/>
      <c r="Q21">
        <f t="shared" si="0"/>
        <v>0</v>
      </c>
      <c r="R21" s="4">
        <f t="shared" si="1"/>
        <v>0</v>
      </c>
      <c r="S21">
        <f t="shared" si="2"/>
        <v>0</v>
      </c>
    </row>
    <row r="22" spans="4:19" x14ac:dyDescent="0.25">
      <c r="D22" s="2"/>
      <c r="E22" s="2"/>
      <c r="F22" s="2"/>
      <c r="G22" s="4">
        <f t="shared" si="3"/>
        <v>0</v>
      </c>
      <c r="H22">
        <f t="shared" si="4"/>
        <v>0</v>
      </c>
      <c r="I22">
        <f t="shared" si="5"/>
        <v>0</v>
      </c>
      <c r="N22" s="2"/>
      <c r="O22" s="2"/>
      <c r="P22" s="2"/>
      <c r="Q22">
        <f t="shared" si="0"/>
        <v>0</v>
      </c>
      <c r="R22" s="4">
        <f t="shared" si="1"/>
        <v>0</v>
      </c>
      <c r="S22">
        <f t="shared" si="2"/>
        <v>0</v>
      </c>
    </row>
    <row r="23" spans="4:19" x14ac:dyDescent="0.25">
      <c r="D23" s="2"/>
      <c r="E23" s="2"/>
      <c r="F23" s="2"/>
      <c r="G23" s="4">
        <f t="shared" si="3"/>
        <v>0</v>
      </c>
      <c r="H23">
        <f t="shared" si="4"/>
        <v>0</v>
      </c>
      <c r="I23">
        <f t="shared" si="5"/>
        <v>0</v>
      </c>
      <c r="N23" s="2"/>
      <c r="O23" s="2"/>
      <c r="P23" s="2"/>
      <c r="Q23">
        <f t="shared" si="0"/>
        <v>0</v>
      </c>
      <c r="R23" s="4">
        <f t="shared" si="1"/>
        <v>0</v>
      </c>
      <c r="S23">
        <f t="shared" si="2"/>
        <v>0</v>
      </c>
    </row>
    <row r="24" spans="4:19" x14ac:dyDescent="0.25">
      <c r="D24" s="2"/>
      <c r="E24" s="2"/>
      <c r="F24" s="2"/>
      <c r="G24" s="4">
        <f t="shared" si="3"/>
        <v>0</v>
      </c>
      <c r="H24">
        <f t="shared" si="4"/>
        <v>0</v>
      </c>
      <c r="I24">
        <f t="shared" si="5"/>
        <v>0</v>
      </c>
      <c r="N24" s="2"/>
      <c r="O24" s="2"/>
      <c r="P24" s="2"/>
      <c r="Q24">
        <f t="shared" si="0"/>
        <v>0</v>
      </c>
      <c r="R24" s="4">
        <f t="shared" si="1"/>
        <v>0</v>
      </c>
      <c r="S24">
        <f t="shared" si="2"/>
        <v>0</v>
      </c>
    </row>
  </sheetData>
  <conditionalFormatting sqref="R6">
    <cfRule type="cellIs" dxfId="1" priority="2" operator="greaterThan">
      <formula>$E$3</formula>
    </cfRule>
  </conditionalFormatting>
  <conditionalFormatting sqref="R7:R24">
    <cfRule type="cellIs" dxfId="0" priority="1" operator="greaterThan">
      <formula>$E$3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1" sqref="C1"/>
    </sheetView>
  </sheetViews>
  <sheetFormatPr defaultRowHeight="15" x14ac:dyDescent="0.25"/>
  <cols>
    <col min="1" max="1" width="18.5703125" customWidth="1"/>
    <col min="4" max="4" width="11" bestFit="1" customWidth="1"/>
  </cols>
  <sheetData>
    <row r="1" spans="1:9" x14ac:dyDescent="0.25">
      <c r="C1" s="14" t="s">
        <v>719</v>
      </c>
    </row>
    <row r="2" spans="1:9" x14ac:dyDescent="0.25">
      <c r="A2" t="s">
        <v>60</v>
      </c>
      <c r="B2" s="2">
        <v>2.5</v>
      </c>
      <c r="C2" t="s">
        <v>25</v>
      </c>
      <c r="D2">
        <f>B2*1000</f>
        <v>2500</v>
      </c>
      <c r="E2" t="s">
        <v>26</v>
      </c>
    </row>
    <row r="3" spans="1:9" x14ac:dyDescent="0.25">
      <c r="A3" t="s">
        <v>61</v>
      </c>
      <c r="B3" s="2">
        <v>1</v>
      </c>
      <c r="C3" t="s">
        <v>25</v>
      </c>
      <c r="D3">
        <f>B3*1000</f>
        <v>1000</v>
      </c>
      <c r="E3" t="s">
        <v>26</v>
      </c>
      <c r="F3" t="s">
        <v>10</v>
      </c>
    </row>
    <row r="4" spans="1:9" x14ac:dyDescent="0.25">
      <c r="A4" t="s">
        <v>58</v>
      </c>
      <c r="B4" s="2">
        <v>20</v>
      </c>
      <c r="C4" t="s">
        <v>1</v>
      </c>
      <c r="D4" s="3">
        <f>B4/1000000000</f>
        <v>2E-8</v>
      </c>
      <c r="E4" t="s">
        <v>3</v>
      </c>
      <c r="F4" s="3">
        <f>4/3*PI()*D4^3</f>
        <v>3.351032163829113E-23</v>
      </c>
      <c r="G4" t="s">
        <v>17</v>
      </c>
      <c r="H4" t="s">
        <v>62</v>
      </c>
      <c r="I4" t="s">
        <v>63</v>
      </c>
    </row>
    <row r="6" spans="1:9" x14ac:dyDescent="0.25">
      <c r="A6" t="s">
        <v>47</v>
      </c>
      <c r="B6">
        <f>1000000000*D6</f>
        <v>0</v>
      </c>
      <c r="C6" t="s">
        <v>1</v>
      </c>
      <c r="D6">
        <v>0</v>
      </c>
      <c r="E6" t="s">
        <v>3</v>
      </c>
      <c r="F6" s="3">
        <f>4/3*PI()*($D$4+D6)^3</f>
        <v>3.351032163829113E-23</v>
      </c>
      <c r="G6" t="s">
        <v>17</v>
      </c>
      <c r="H6" s="6">
        <f>$F$4/F6</f>
        <v>1</v>
      </c>
      <c r="I6" s="6">
        <f>$F$4*$D$2/($F$4*$D$2 +( 4/3*PI()*($D$4+D6)^3-$F$4)*$D$3)</f>
        <v>1</v>
      </c>
    </row>
    <row r="7" spans="1:9" x14ac:dyDescent="0.25">
      <c r="B7">
        <f t="shared" ref="B7:B16" si="0">1000000000*D7</f>
        <v>2</v>
      </c>
      <c r="C7" t="s">
        <v>1</v>
      </c>
      <c r="D7" s="3">
        <f>D6+$D$4/10</f>
        <v>2.0000000000000001E-9</v>
      </c>
      <c r="E7" t="s">
        <v>3</v>
      </c>
      <c r="F7" s="3">
        <f t="shared" ref="F7:F16" si="1">4/3*PI()*($D$4+D7)^3</f>
        <v>4.4602238100565497E-23</v>
      </c>
      <c r="G7" t="s">
        <v>17</v>
      </c>
      <c r="H7" s="6">
        <f t="shared" ref="H7:H16" si="2">$F$4/F7</f>
        <v>0.75131480090157765</v>
      </c>
      <c r="I7" s="6">
        <f t="shared" ref="I7:I16" si="3">$F$4*$D$2/($F$4*$D$2 +( 4/3*PI()*($D$4+D7)^3-$F$4)*$D$3)</f>
        <v>0.8830801836806782</v>
      </c>
    </row>
    <row r="8" spans="1:9" x14ac:dyDescent="0.25">
      <c r="B8">
        <f t="shared" si="0"/>
        <v>4</v>
      </c>
      <c r="C8" t="s">
        <v>1</v>
      </c>
      <c r="D8" s="3">
        <f t="shared" ref="D8:D15" si="4">D7+$D$4/10</f>
        <v>4.0000000000000002E-9</v>
      </c>
      <c r="E8" t="s">
        <v>3</v>
      </c>
      <c r="F8" s="3">
        <f t="shared" si="1"/>
        <v>5.790583579096706E-23</v>
      </c>
      <c r="G8" t="s">
        <v>17</v>
      </c>
      <c r="H8" s="6">
        <f t="shared" si="2"/>
        <v>0.57870370370370383</v>
      </c>
      <c r="I8" s="6">
        <f t="shared" si="3"/>
        <v>0.77447335811648099</v>
      </c>
    </row>
    <row r="9" spans="1:9" x14ac:dyDescent="0.25">
      <c r="B9">
        <f t="shared" si="0"/>
        <v>6.0000000000000009</v>
      </c>
      <c r="C9" t="s">
        <v>1</v>
      </c>
      <c r="D9" s="3">
        <f t="shared" si="4"/>
        <v>6.0000000000000008E-9</v>
      </c>
      <c r="E9" t="s">
        <v>3</v>
      </c>
      <c r="F9" s="3">
        <f t="shared" si="1"/>
        <v>7.3622176639325606E-23</v>
      </c>
      <c r="G9" t="s">
        <v>17</v>
      </c>
      <c r="H9" s="6">
        <f t="shared" si="2"/>
        <v>0.45516613563950847</v>
      </c>
      <c r="I9" s="6">
        <f t="shared" si="3"/>
        <v>0.67622396537733309</v>
      </c>
    </row>
    <row r="10" spans="1:9" x14ac:dyDescent="0.25">
      <c r="B10">
        <f t="shared" si="0"/>
        <v>8</v>
      </c>
      <c r="C10" t="s">
        <v>1</v>
      </c>
      <c r="D10" s="3">
        <f t="shared" si="4"/>
        <v>8.0000000000000005E-9</v>
      </c>
      <c r="E10" t="s">
        <v>3</v>
      </c>
      <c r="F10" s="3">
        <f t="shared" si="1"/>
        <v>9.1952322575470835E-23</v>
      </c>
      <c r="G10" t="s">
        <v>17</v>
      </c>
      <c r="H10" s="6">
        <f t="shared" si="2"/>
        <v>0.36443148688046656</v>
      </c>
      <c r="I10" s="6">
        <f t="shared" si="3"/>
        <v>0.58906691800188504</v>
      </c>
    </row>
    <row r="11" spans="1:9" x14ac:dyDescent="0.25">
      <c r="B11">
        <f t="shared" si="0"/>
        <v>10</v>
      </c>
      <c r="C11" t="s">
        <v>1</v>
      </c>
      <c r="D11" s="3">
        <f t="shared" si="4"/>
        <v>1E-8</v>
      </c>
      <c r="E11" t="s">
        <v>3</v>
      </c>
      <c r="F11" s="3">
        <f t="shared" si="1"/>
        <v>1.130973355292326E-22</v>
      </c>
      <c r="G11" t="s">
        <v>17</v>
      </c>
      <c r="H11" s="6">
        <f t="shared" si="2"/>
        <v>0.29629629629629622</v>
      </c>
      <c r="I11" s="6">
        <f t="shared" si="3"/>
        <v>0.51282051282051277</v>
      </c>
    </row>
    <row r="12" spans="1:9" x14ac:dyDescent="0.25">
      <c r="B12">
        <f t="shared" si="0"/>
        <v>12</v>
      </c>
      <c r="C12" t="s">
        <v>1</v>
      </c>
      <c r="D12" s="3">
        <f t="shared" si="4"/>
        <v>1.2E-8</v>
      </c>
      <c r="E12" t="s">
        <v>3</v>
      </c>
      <c r="F12" s="3">
        <f t="shared" si="1"/>
        <v>1.3725827743044047E-22</v>
      </c>
      <c r="G12" t="s">
        <v>17</v>
      </c>
      <c r="H12" s="6">
        <f t="shared" si="2"/>
        <v>0.244140625</v>
      </c>
      <c r="I12" s="6">
        <f t="shared" si="3"/>
        <v>0.44674767691208006</v>
      </c>
    </row>
    <row r="13" spans="1:9" x14ac:dyDescent="0.25">
      <c r="B13">
        <f t="shared" si="0"/>
        <v>14</v>
      </c>
      <c r="C13" t="s">
        <v>1</v>
      </c>
      <c r="D13" s="3">
        <f t="shared" si="4"/>
        <v>1.4E-8</v>
      </c>
      <c r="E13" t="s">
        <v>3</v>
      </c>
      <c r="F13" s="3">
        <f t="shared" si="1"/>
        <v>1.6463621020892431E-22</v>
      </c>
      <c r="G13" t="s">
        <v>17</v>
      </c>
      <c r="H13" s="6">
        <f t="shared" si="2"/>
        <v>0.20354162426216163</v>
      </c>
      <c r="I13" s="6">
        <f t="shared" si="3"/>
        <v>0.38983315141119607</v>
      </c>
    </row>
    <row r="14" spans="1:9" x14ac:dyDescent="0.25">
      <c r="B14">
        <f t="shared" si="0"/>
        <v>16</v>
      </c>
      <c r="C14" t="s">
        <v>1</v>
      </c>
      <c r="D14" s="3">
        <f>D13+$D$4/10</f>
        <v>1.6000000000000001E-8</v>
      </c>
      <c r="E14" t="s">
        <v>3</v>
      </c>
      <c r="F14" s="3">
        <f t="shared" si="1"/>
        <v>1.9543219579451392E-22</v>
      </c>
      <c r="G14" t="s">
        <v>17</v>
      </c>
      <c r="H14" s="6">
        <f t="shared" si="2"/>
        <v>0.1714677640603566</v>
      </c>
      <c r="I14" s="6">
        <f t="shared" si="3"/>
        <v>0.34097108565193668</v>
      </c>
    </row>
    <row r="15" spans="1:9" x14ac:dyDescent="0.25">
      <c r="B15">
        <f t="shared" si="0"/>
        <v>18.000000000000004</v>
      </c>
      <c r="C15" t="s">
        <v>1</v>
      </c>
      <c r="D15" s="3">
        <f t="shared" si="4"/>
        <v>1.8000000000000002E-8</v>
      </c>
      <c r="E15" t="s">
        <v>3</v>
      </c>
      <c r="F15" s="3">
        <f t="shared" si="1"/>
        <v>2.298472961170389E-22</v>
      </c>
      <c r="G15" t="s">
        <v>17</v>
      </c>
      <c r="H15" s="6">
        <f t="shared" si="2"/>
        <v>0.1457938474996355</v>
      </c>
      <c r="I15" s="6">
        <f t="shared" si="3"/>
        <v>0.29907883718148098</v>
      </c>
    </row>
    <row r="16" spans="1:9" x14ac:dyDescent="0.25">
      <c r="B16">
        <f t="shared" si="0"/>
        <v>20.000000000000004</v>
      </c>
      <c r="C16" t="s">
        <v>1</v>
      </c>
      <c r="D16" s="3">
        <f>D15+$D$4/10</f>
        <v>2.0000000000000004E-8</v>
      </c>
      <c r="E16" t="s">
        <v>3</v>
      </c>
      <c r="F16" s="3">
        <f t="shared" si="1"/>
        <v>2.6808257310632904E-22</v>
      </c>
      <c r="G16" t="s">
        <v>17</v>
      </c>
      <c r="H16" s="6">
        <f t="shared" si="2"/>
        <v>0.125</v>
      </c>
      <c r="I16" s="6">
        <f t="shared" si="3"/>
        <v>0.26315789473684215</v>
      </c>
    </row>
    <row r="22" spans="1:9" x14ac:dyDescent="0.25">
      <c r="A22" t="s">
        <v>59</v>
      </c>
      <c r="B22">
        <f>B4</f>
        <v>20</v>
      </c>
      <c r="C22" t="s">
        <v>1</v>
      </c>
      <c r="D22" s="3">
        <f>B22/1000000000</f>
        <v>2E-8</v>
      </c>
      <c r="E22" t="s">
        <v>3</v>
      </c>
      <c r="F22" s="3">
        <f>4/3*PI()*D22^3</f>
        <v>3.351032163829113E-23</v>
      </c>
      <c r="G22" t="s">
        <v>17</v>
      </c>
      <c r="H22" t="s">
        <v>62</v>
      </c>
      <c r="I22" t="s">
        <v>63</v>
      </c>
    </row>
    <row r="24" spans="1:9" x14ac:dyDescent="0.25">
      <c r="A24" t="s">
        <v>47</v>
      </c>
      <c r="B24">
        <f>1000000000*D24</f>
        <v>0</v>
      </c>
      <c r="C24" t="s">
        <v>1</v>
      </c>
      <c r="D24">
        <v>0</v>
      </c>
      <c r="E24" t="s">
        <v>3</v>
      </c>
      <c r="F24" s="3">
        <f>4/3*PI()*($D$4-D24)^3</f>
        <v>3.351032163829113E-23</v>
      </c>
      <c r="G24" t="s">
        <v>17</v>
      </c>
      <c r="H24" s="6">
        <f>F24/$F$4</f>
        <v>1</v>
      </c>
      <c r="I24" s="6">
        <f>(4/3*PI()*($D$4-D24)^3*$D$2)/((4/3*PI()*($D$4-D24)^3*$D$2+($F$4-4/3*PI()*($D$4-D24)^3)*$D$3))</f>
        <v>1</v>
      </c>
    </row>
    <row r="25" spans="1:9" x14ac:dyDescent="0.25">
      <c r="B25">
        <f t="shared" ref="B25:B34" si="5">1000000000*D25</f>
        <v>2</v>
      </c>
      <c r="C25" t="s">
        <v>1</v>
      </c>
      <c r="D25" s="3">
        <f>D24+$D$4/10</f>
        <v>2.0000000000000001E-9</v>
      </c>
      <c r="E25" t="s">
        <v>3</v>
      </c>
      <c r="F25" s="3">
        <f t="shared" ref="F25:F34" si="6">4/3*PI()*($D$4-D25)^3</f>
        <v>2.4429024474314228E-23</v>
      </c>
      <c r="G25" t="s">
        <v>17</v>
      </c>
      <c r="H25" s="6">
        <f t="shared" ref="H25:H34" si="7">F25/$F$4</f>
        <v>0.72899999999999987</v>
      </c>
      <c r="I25" s="6">
        <f t="shared" ref="I25:I34" si="8">(4/3*PI()*($D$4-D25)^3*$D$2)/((4/3*PI()*($D$4-D25)^3*$D$2+($F$4-4/3*PI()*($D$4-D25)^3)*$D$3))</f>
        <v>0.87055170766658696</v>
      </c>
    </row>
    <row r="26" spans="1:9" x14ac:dyDescent="0.25">
      <c r="B26">
        <f t="shared" si="5"/>
        <v>4</v>
      </c>
      <c r="C26" t="s">
        <v>1</v>
      </c>
      <c r="D26" s="3">
        <f t="shared" ref="D26:D31" si="9">D25+$D$4/10</f>
        <v>4.0000000000000002E-9</v>
      </c>
      <c r="E26" t="s">
        <v>3</v>
      </c>
      <c r="F26" s="3">
        <f t="shared" si="6"/>
        <v>1.7157284678805059E-23</v>
      </c>
      <c r="G26" t="s">
        <v>17</v>
      </c>
      <c r="H26" s="6">
        <f t="shared" si="7"/>
        <v>0.51200000000000001</v>
      </c>
      <c r="I26" s="6">
        <f t="shared" si="8"/>
        <v>0.72398190045248867</v>
      </c>
    </row>
    <row r="27" spans="1:9" x14ac:dyDescent="0.25">
      <c r="B27">
        <f t="shared" si="5"/>
        <v>6.0000000000000009</v>
      </c>
      <c r="C27" t="s">
        <v>1</v>
      </c>
      <c r="D27" s="3">
        <f t="shared" si="9"/>
        <v>6.0000000000000008E-9</v>
      </c>
      <c r="E27" t="s">
        <v>3</v>
      </c>
      <c r="F27" s="3">
        <f t="shared" si="6"/>
        <v>1.1494040321933854E-23</v>
      </c>
      <c r="G27" t="s">
        <v>17</v>
      </c>
      <c r="H27" s="6">
        <f t="shared" si="7"/>
        <v>0.34299999999999992</v>
      </c>
      <c r="I27" s="6">
        <f t="shared" si="8"/>
        <v>0.56619346318917119</v>
      </c>
    </row>
    <row r="28" spans="1:9" x14ac:dyDescent="0.25">
      <c r="B28">
        <f t="shared" si="5"/>
        <v>8</v>
      </c>
      <c r="C28" t="s">
        <v>1</v>
      </c>
      <c r="D28" s="3">
        <f t="shared" si="9"/>
        <v>8.0000000000000005E-9</v>
      </c>
      <c r="E28" t="s">
        <v>3</v>
      </c>
      <c r="F28" s="3">
        <f t="shared" si="6"/>
        <v>7.2382294738708825E-24</v>
      </c>
      <c r="G28" t="s">
        <v>17</v>
      </c>
      <c r="H28" s="6">
        <f t="shared" si="7"/>
        <v>0.21599999999999994</v>
      </c>
      <c r="I28" s="6">
        <f t="shared" si="8"/>
        <v>0.40785498489425975</v>
      </c>
    </row>
    <row r="29" spans="1:9" x14ac:dyDescent="0.25">
      <c r="B29">
        <f t="shared" si="5"/>
        <v>10</v>
      </c>
      <c r="C29" t="s">
        <v>1</v>
      </c>
      <c r="D29" s="3">
        <f t="shared" si="9"/>
        <v>1E-8</v>
      </c>
      <c r="E29" t="s">
        <v>3</v>
      </c>
      <c r="F29" s="3">
        <f t="shared" si="6"/>
        <v>4.1887902047863912E-24</v>
      </c>
      <c r="G29" t="s">
        <v>17</v>
      </c>
      <c r="H29" s="6">
        <f t="shared" si="7"/>
        <v>0.125</v>
      </c>
      <c r="I29" s="6">
        <f t="shared" si="8"/>
        <v>0.26315789473684215</v>
      </c>
    </row>
    <row r="30" spans="1:9" x14ac:dyDescent="0.25">
      <c r="B30">
        <f t="shared" si="5"/>
        <v>12</v>
      </c>
      <c r="C30" t="s">
        <v>1</v>
      </c>
      <c r="D30" s="3">
        <f t="shared" si="9"/>
        <v>1.2E-8</v>
      </c>
      <c r="E30" t="s">
        <v>3</v>
      </c>
      <c r="F30" s="3">
        <f t="shared" si="6"/>
        <v>2.1446605848506324E-24</v>
      </c>
      <c r="G30" t="s">
        <v>17</v>
      </c>
      <c r="H30" s="6">
        <f t="shared" si="7"/>
        <v>6.4000000000000001E-2</v>
      </c>
      <c r="I30" s="6">
        <f t="shared" si="8"/>
        <v>0.14598540145985403</v>
      </c>
    </row>
    <row r="31" spans="1:9" x14ac:dyDescent="0.25">
      <c r="B31">
        <f t="shared" si="5"/>
        <v>14</v>
      </c>
      <c r="C31" t="s">
        <v>1</v>
      </c>
      <c r="D31" s="3">
        <f t="shared" si="9"/>
        <v>1.4E-8</v>
      </c>
      <c r="E31" t="s">
        <v>3</v>
      </c>
      <c r="F31" s="3">
        <f t="shared" si="6"/>
        <v>9.0477868423386068E-25</v>
      </c>
      <c r="G31" t="s">
        <v>17</v>
      </c>
      <c r="H31" s="6">
        <f t="shared" si="7"/>
        <v>2.7000000000000007E-2</v>
      </c>
      <c r="I31" s="6">
        <f t="shared" si="8"/>
        <v>6.4872657376261425E-2</v>
      </c>
    </row>
    <row r="32" spans="1:9" x14ac:dyDescent="0.25">
      <c r="B32">
        <f t="shared" si="5"/>
        <v>16</v>
      </c>
      <c r="C32" t="s">
        <v>1</v>
      </c>
      <c r="D32" s="3">
        <f>D31+$D$4/10</f>
        <v>1.6000000000000001E-8</v>
      </c>
      <c r="E32" t="s">
        <v>3</v>
      </c>
      <c r="F32" s="3">
        <f t="shared" si="6"/>
        <v>2.6808257310632887E-25</v>
      </c>
      <c r="G32" t="s">
        <v>17</v>
      </c>
      <c r="H32" s="6">
        <f t="shared" si="7"/>
        <v>7.999999999999995E-3</v>
      </c>
      <c r="I32" s="6">
        <f t="shared" si="8"/>
        <v>1.9762845849802362E-2</v>
      </c>
    </row>
    <row r="33" spans="2:9" x14ac:dyDescent="0.25">
      <c r="B33">
        <f t="shared" si="5"/>
        <v>18.000000000000004</v>
      </c>
      <c r="C33" t="s">
        <v>1</v>
      </c>
      <c r="D33" s="3">
        <f t="shared" ref="D33" si="10">D32+$D$4/10</f>
        <v>1.8000000000000002E-8</v>
      </c>
      <c r="E33" t="s">
        <v>3</v>
      </c>
      <c r="F33" s="3">
        <f t="shared" si="6"/>
        <v>3.3510321638291028E-26</v>
      </c>
      <c r="G33" t="s">
        <v>17</v>
      </c>
      <c r="H33" s="6">
        <f t="shared" si="7"/>
        <v>9.9999999999999699E-4</v>
      </c>
      <c r="I33" s="6">
        <f t="shared" si="8"/>
        <v>2.4962556165751301E-3</v>
      </c>
    </row>
    <row r="34" spans="2:9" x14ac:dyDescent="0.25">
      <c r="B34">
        <f t="shared" si="5"/>
        <v>20.000000000000004</v>
      </c>
      <c r="C34" t="s">
        <v>1</v>
      </c>
      <c r="D34" s="3">
        <f>D33+$D$4/10</f>
        <v>2.0000000000000004E-8</v>
      </c>
      <c r="E34" t="s">
        <v>3</v>
      </c>
      <c r="F34" s="3">
        <f t="shared" si="6"/>
        <v>-1.5172935929231351E-70</v>
      </c>
      <c r="G34" t="s">
        <v>17</v>
      </c>
      <c r="H34" s="6">
        <f t="shared" si="7"/>
        <v>-4.5278395394133555E-48</v>
      </c>
      <c r="I34" s="6">
        <f t="shared" si="8"/>
        <v>-1.1319598848533389E-47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4" max="4" width="12" bestFit="1" customWidth="1"/>
    <col min="7" max="7" width="12" bestFit="1" customWidth="1"/>
  </cols>
  <sheetData>
    <row r="1" spans="1:7" x14ac:dyDescent="0.25">
      <c r="C1" s="14" t="s">
        <v>720</v>
      </c>
    </row>
    <row r="3" spans="1:7" x14ac:dyDescent="0.25">
      <c r="A3" t="s">
        <v>23</v>
      </c>
      <c r="B3" s="2">
        <v>33</v>
      </c>
      <c r="C3" t="s">
        <v>21</v>
      </c>
      <c r="D3">
        <f>B3/100</f>
        <v>0.33</v>
      </c>
      <c r="E3" t="s">
        <v>22</v>
      </c>
    </row>
    <row r="4" spans="1:7" x14ac:dyDescent="0.25">
      <c r="A4" t="s">
        <v>0</v>
      </c>
      <c r="B4" s="2">
        <v>100</v>
      </c>
      <c r="C4" t="s">
        <v>1</v>
      </c>
      <c r="D4" s="3">
        <f>B4/1000000000</f>
        <v>9.9999999999999995E-8</v>
      </c>
      <c r="E4" t="s">
        <v>3</v>
      </c>
    </row>
    <row r="5" spans="1:7" x14ac:dyDescent="0.25">
      <c r="A5" t="s">
        <v>24</v>
      </c>
      <c r="B5" s="2">
        <v>1</v>
      </c>
      <c r="C5" t="s">
        <v>25</v>
      </c>
      <c r="D5">
        <f>B5*1000</f>
        <v>1000</v>
      </c>
      <c r="E5" t="s">
        <v>26</v>
      </c>
    </row>
    <row r="6" spans="1:7" x14ac:dyDescent="0.25">
      <c r="A6" t="s">
        <v>28</v>
      </c>
      <c r="B6" s="2">
        <v>1</v>
      </c>
      <c r="C6" t="s">
        <v>25</v>
      </c>
      <c r="D6">
        <f>B6*1000</f>
        <v>1000</v>
      </c>
      <c r="E6" t="s">
        <v>26</v>
      </c>
    </row>
    <row r="7" spans="1:7" x14ac:dyDescent="0.25">
      <c r="A7" t="s">
        <v>33</v>
      </c>
      <c r="B7" s="2">
        <v>9</v>
      </c>
      <c r="C7" t="s">
        <v>1</v>
      </c>
      <c r="D7" s="3">
        <f>B7/1000000000</f>
        <v>8.9999999999999995E-9</v>
      </c>
      <c r="E7" t="s">
        <v>3</v>
      </c>
    </row>
    <row r="8" spans="1:7" x14ac:dyDescent="0.25">
      <c r="A8" t="s">
        <v>34</v>
      </c>
      <c r="B8" s="2">
        <v>6</v>
      </c>
      <c r="C8" t="s">
        <v>35</v>
      </c>
      <c r="D8" s="3">
        <f>B8/10^20</f>
        <v>6.0000000000000006E-20</v>
      </c>
      <c r="E8" t="s">
        <v>46</v>
      </c>
    </row>
    <row r="9" spans="1:7" x14ac:dyDescent="0.25">
      <c r="A9" t="s">
        <v>44</v>
      </c>
      <c r="B9" s="2">
        <v>78.5</v>
      </c>
      <c r="D9" s="3">
        <f>B9</f>
        <v>78.5</v>
      </c>
    </row>
    <row r="11" spans="1:7" x14ac:dyDescent="0.25">
      <c r="A11" t="s">
        <v>27</v>
      </c>
      <c r="B11">
        <f>100*D11</f>
        <v>33</v>
      </c>
      <c r="C11" t="s">
        <v>21</v>
      </c>
      <c r="D11">
        <f>D3*D6/D5</f>
        <v>0.33</v>
      </c>
      <c r="E11" t="s">
        <v>22</v>
      </c>
    </row>
    <row r="12" spans="1:7" x14ac:dyDescent="0.25">
      <c r="A12" t="s">
        <v>29</v>
      </c>
      <c r="B12">
        <f>100*D12</f>
        <v>70.899999999999991</v>
      </c>
      <c r="C12" t="s">
        <v>21</v>
      </c>
      <c r="D12">
        <f>MAX(0.61, 0.71-0.1*D4/0.00001)</f>
        <v>0.70899999999999996</v>
      </c>
      <c r="E12" t="s">
        <v>22</v>
      </c>
    </row>
    <row r="14" spans="1:7" x14ac:dyDescent="0.25">
      <c r="A14" t="s">
        <v>30</v>
      </c>
      <c r="B14" s="5">
        <f>1000000000*D14</f>
        <v>14.92868313863722</v>
      </c>
      <c r="C14" t="s">
        <v>1</v>
      </c>
      <c r="D14" s="3">
        <f>2*D4*((1/(3*PI()*D11)+5/6)^0.5-1)</f>
        <v>1.492868313863722E-8</v>
      </c>
      <c r="E14" t="s">
        <v>3</v>
      </c>
      <c r="F14" t="s">
        <v>45</v>
      </c>
      <c r="G14" s="3">
        <v>8.8539999999999992E-12</v>
      </c>
    </row>
    <row r="15" spans="1:7" x14ac:dyDescent="0.25">
      <c r="F15" t="s">
        <v>41</v>
      </c>
      <c r="G15" s="3">
        <v>1.3804999999999999E-23</v>
      </c>
    </row>
    <row r="16" spans="1:7" x14ac:dyDescent="0.25">
      <c r="A16" t="s">
        <v>31</v>
      </c>
      <c r="B16" s="4">
        <f>D16</f>
        <v>3.4995648874624941</v>
      </c>
      <c r="D16" s="4">
        <f>1/(1-MIN(D11/D12,0.999))^2</f>
        <v>3.4995648874624941</v>
      </c>
      <c r="F16" t="s">
        <v>42</v>
      </c>
      <c r="G16" s="3">
        <v>6.6259999999999998E-34</v>
      </c>
    </row>
    <row r="17" spans="1:7" x14ac:dyDescent="0.25">
      <c r="F17" t="s">
        <v>38</v>
      </c>
      <c r="G17" s="3">
        <f>D14/(2*D4)</f>
        <v>7.464341569318611E-2</v>
      </c>
    </row>
    <row r="18" spans="1:7" x14ac:dyDescent="0.25">
      <c r="A18" t="s">
        <v>36</v>
      </c>
      <c r="D18" s="3">
        <f>G16/(G21^3)*EXP(G20/(300*G15))</f>
        <v>4105.2043956647467</v>
      </c>
      <c r="F18" t="s">
        <v>37</v>
      </c>
      <c r="G18" s="3">
        <f>2*PI()*D9*G14* D4 *0.05*0.05* LN(1 + EXP(-D14 / D7))</f>
        <v>1.9026302116947224E-19</v>
      </c>
    </row>
    <row r="19" spans="1:7" x14ac:dyDescent="0.25">
      <c r="F19" t="s">
        <v>39</v>
      </c>
      <c r="G19" s="3">
        <f>-D8/12 * (1 / (G17 ^ 2 + 2 *G17) + 1 / (G17 ^ 2 + 2 * G17 + 1) + 2 * LOG((G17 ^ 2 + 2 *G17) / (G17 ^ 2 + 2 * G17 + 1)))</f>
        <v>-2.7891142861034244E-20</v>
      </c>
    </row>
    <row r="20" spans="1:7" x14ac:dyDescent="0.25">
      <c r="F20" t="s">
        <v>40</v>
      </c>
      <c r="G20" s="3">
        <f>MIN(G18+G19, 50*300*G15)</f>
        <v>1.6237187830843801E-19</v>
      </c>
    </row>
    <row r="21" spans="1:7" x14ac:dyDescent="0.25">
      <c r="F21" t="s">
        <v>43</v>
      </c>
      <c r="G21" s="3">
        <f>2*D4*(D12/D11)^0.333</f>
        <v>2.5800614512395783E-7</v>
      </c>
    </row>
    <row r="41" spans="8:8" x14ac:dyDescent="0.25">
      <c r="H41" t="s">
        <v>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workbookViewId="0">
      <selection activeCell="C1" sqref="C1"/>
    </sheetView>
  </sheetViews>
  <sheetFormatPr defaultRowHeight="15" x14ac:dyDescent="0.25"/>
  <cols>
    <col min="1" max="1" width="17" bestFit="1" customWidth="1"/>
    <col min="2" max="2" width="10.140625" bestFit="1" customWidth="1"/>
    <col min="4" max="5" width="9.140625" bestFit="1" customWidth="1"/>
    <col min="6" max="6" width="7.140625" customWidth="1"/>
    <col min="7" max="7" width="11.140625" bestFit="1" customWidth="1"/>
    <col min="8" max="8" width="11.140625" customWidth="1"/>
    <col min="9" max="9" width="11.140625" bestFit="1" customWidth="1"/>
  </cols>
  <sheetData>
    <row r="1" spans="1:26" x14ac:dyDescent="0.25">
      <c r="C1" s="14" t="s">
        <v>721</v>
      </c>
    </row>
    <row r="2" spans="1:26" x14ac:dyDescent="0.25">
      <c r="B2" t="s">
        <v>48</v>
      </c>
      <c r="C2" t="s">
        <v>49</v>
      </c>
      <c r="D2" t="s">
        <v>574</v>
      </c>
      <c r="E2" t="s">
        <v>575</v>
      </c>
      <c r="F2" t="s">
        <v>51</v>
      </c>
      <c r="G2" t="s">
        <v>52</v>
      </c>
      <c r="H2" t="s">
        <v>52</v>
      </c>
      <c r="I2" t="s">
        <v>52</v>
      </c>
      <c r="J2" t="s">
        <v>572</v>
      </c>
      <c r="U2" s="14" t="s">
        <v>701</v>
      </c>
      <c r="V2" s="49">
        <f>V8/U8</f>
        <v>104.01956923065885</v>
      </c>
      <c r="W2" s="14" t="s">
        <v>707</v>
      </c>
      <c r="X2" s="49">
        <f>2*MEDIAN(D9:D48,V9:V48)</f>
        <v>4.0912983206290106</v>
      </c>
    </row>
    <row r="3" spans="1:26" x14ac:dyDescent="0.25">
      <c r="A3" t="s">
        <v>56</v>
      </c>
      <c r="B3" s="2">
        <v>20</v>
      </c>
      <c r="C3" s="2">
        <v>90</v>
      </c>
      <c r="D3">
        <f>2*B3/D4</f>
        <v>4</v>
      </c>
      <c r="E3">
        <f>2*C3/E4</f>
        <v>180</v>
      </c>
      <c r="G3" t="s">
        <v>53</v>
      </c>
      <c r="H3" t="s">
        <v>708</v>
      </c>
      <c r="I3" t="s">
        <v>54</v>
      </c>
      <c r="U3" s="14" t="s">
        <v>702</v>
      </c>
      <c r="V3" s="49">
        <f>X8/W8</f>
        <v>264.80207088096245</v>
      </c>
      <c r="W3" s="14" t="s">
        <v>706</v>
      </c>
      <c r="X3" s="49">
        <f>2*MEDIAN(D9:D48,W9:W48)</f>
        <v>14.876473487233742</v>
      </c>
    </row>
    <row r="4" spans="1:26" x14ac:dyDescent="0.25">
      <c r="A4" t="s">
        <v>57</v>
      </c>
      <c r="B4" s="2">
        <v>10</v>
      </c>
      <c r="C4" s="2">
        <v>1</v>
      </c>
      <c r="D4">
        <f>B4</f>
        <v>10</v>
      </c>
      <c r="E4">
        <f>C4</f>
        <v>1</v>
      </c>
      <c r="J4" t="s">
        <v>576</v>
      </c>
      <c r="U4" s="14" t="s">
        <v>703</v>
      </c>
      <c r="V4" s="49">
        <f>Y8/X8</f>
        <v>321.73775371004899</v>
      </c>
      <c r="W4" s="14" t="s">
        <v>705</v>
      </c>
      <c r="X4" s="49">
        <f>2*MEDIAN(D9:D48,X9:X48)</f>
        <v>128.60097218335252</v>
      </c>
      <c r="Y4" s="14" t="s">
        <v>704</v>
      </c>
      <c r="Z4" s="49"/>
    </row>
    <row r="5" spans="1:26" x14ac:dyDescent="0.25">
      <c r="A5" t="s">
        <v>50</v>
      </c>
      <c r="B5" s="2">
        <v>100</v>
      </c>
      <c r="C5" s="2">
        <v>10</v>
      </c>
      <c r="J5" t="s">
        <v>573</v>
      </c>
    </row>
    <row r="6" spans="1:26" x14ac:dyDescent="0.25">
      <c r="A6" t="s">
        <v>570</v>
      </c>
      <c r="B6" s="2">
        <v>5</v>
      </c>
      <c r="C6" t="s">
        <v>1</v>
      </c>
      <c r="D6" t="s">
        <v>224</v>
      </c>
      <c r="E6" t="s">
        <v>641</v>
      </c>
      <c r="J6" s="2">
        <v>0.2</v>
      </c>
      <c r="T6" t="s">
        <v>643</v>
      </c>
    </row>
    <row r="7" spans="1:26" x14ac:dyDescent="0.25">
      <c r="A7" t="s">
        <v>571</v>
      </c>
      <c r="B7" s="2">
        <v>5</v>
      </c>
      <c r="C7" t="s">
        <v>1</v>
      </c>
      <c r="D7" s="4">
        <f>SUM(D9:D48)+SUM(E9:E48)</f>
        <v>21.901583428579247</v>
      </c>
      <c r="E7">
        <f>B48</f>
        <v>200</v>
      </c>
      <c r="S7" s="14" t="s">
        <v>642</v>
      </c>
      <c r="T7" s="14">
        <f>T8/D7</f>
        <v>9.2759113992054373E-2</v>
      </c>
      <c r="U7" t="s">
        <v>696</v>
      </c>
      <c r="V7" t="s">
        <v>697</v>
      </c>
      <c r="W7" t="s">
        <v>698</v>
      </c>
      <c r="X7" t="s">
        <v>699</v>
      </c>
      <c r="Y7" t="s">
        <v>700</v>
      </c>
    </row>
    <row r="8" spans="1:26" x14ac:dyDescent="0.25">
      <c r="B8" t="s">
        <v>55</v>
      </c>
      <c r="S8" t="s">
        <v>51</v>
      </c>
      <c r="T8">
        <f>SUM(T9:T48)</f>
        <v>2.0315714738580715</v>
      </c>
      <c r="U8">
        <f t="shared" ref="U8:Y8" si="0">SUM(U9:U48)</f>
        <v>21.901583428579254</v>
      </c>
      <c r="V8">
        <f t="shared" si="0"/>
        <v>2278.1932737101502</v>
      </c>
      <c r="W8">
        <f t="shared" si="0"/>
        <v>403155.88094896037</v>
      </c>
      <c r="X8">
        <f t="shared" si="0"/>
        <v>106756512.16312346</v>
      </c>
      <c r="Y8">
        <f t="shared" si="0"/>
        <v>34347600417.282867</v>
      </c>
    </row>
    <row r="9" spans="1:26" x14ac:dyDescent="0.25">
      <c r="B9">
        <f>B6</f>
        <v>5</v>
      </c>
      <c r="D9" s="4">
        <f t="shared" ref="D9:D48" si="1">$B$5*_xlfn.GAMMA.DIST(B9,$D$3,$D$4,FALSE)</f>
        <v>0.12636055410679864</v>
      </c>
      <c r="E9" s="4">
        <f t="shared" ref="E9:E48" si="2">$C$5*_xlfn.GAMMA.DIST(B9,$E$3,$E$4,FALSE)</f>
        <v>7.878788583547426E-204</v>
      </c>
      <c r="F9" s="4">
        <f>D9+E9</f>
        <v>0.12636055410679864</v>
      </c>
      <c r="G9" s="4">
        <f>G8+F9</f>
        <v>0.12636055410679864</v>
      </c>
      <c r="H9" s="4">
        <f t="shared" ref="H9:H48" si="3">H8+F9*(B9/$E$7)^2</f>
        <v>7.8975346316749158E-5</v>
      </c>
      <c r="I9" s="4">
        <f>I8+F9*(B9/$E$7)^3</f>
        <v>1.9743836579187292E-6</v>
      </c>
      <c r="J9" s="4">
        <f t="shared" ref="J9:J48" si="4">F9+Offset</f>
        <v>0.32636055410679865</v>
      </c>
      <c r="T9">
        <f t="shared" ref="T9:T48" si="5">3*F9/B9</f>
        <v>7.5816332464079178E-2</v>
      </c>
      <c r="U9">
        <f t="shared" ref="U9:U48" si="6">(2*B9)^0*F9</f>
        <v>0.12636055410679864</v>
      </c>
      <c r="V9">
        <f t="shared" ref="V9:V48" si="7">(2*B9)^1*F9</f>
        <v>1.2636055410679865</v>
      </c>
      <c r="W9">
        <f t="shared" ref="W9:W48" si="8">(2*B9)^2*F9</f>
        <v>12.636055410679864</v>
      </c>
      <c r="X9">
        <f t="shared" ref="X9:X48" si="9">(2*B9)^3*F9</f>
        <v>126.36055410679865</v>
      </c>
      <c r="Y9">
        <f t="shared" ref="Y9:Y48" si="10">(2*B9)^4*F9</f>
        <v>1263.6055410679865</v>
      </c>
    </row>
    <row r="10" spans="1:26" x14ac:dyDescent="0.25">
      <c r="B10">
        <f>B9+$B$7</f>
        <v>10</v>
      </c>
      <c r="D10" s="4">
        <f t="shared" si="1"/>
        <v>0.61313240195240382</v>
      </c>
      <c r="E10" s="4">
        <f t="shared" si="2"/>
        <v>4.0677688032252844E-152</v>
      </c>
      <c r="F10" s="4">
        <f t="shared" ref="F10:F48" si="11">D10+E10</f>
        <v>0.61313240195240382</v>
      </c>
      <c r="G10" s="4">
        <f>G9+F10</f>
        <v>0.73949295605920251</v>
      </c>
      <c r="H10" s="4">
        <f t="shared" si="3"/>
        <v>1.6118063511977589E-3</v>
      </c>
      <c r="I10" s="4">
        <f t="shared" ref="I10:I48" si="12">I9+F10*(B10/$E$7)^3</f>
        <v>7.8615933901969218E-5</v>
      </c>
      <c r="J10" s="4">
        <f t="shared" si="4"/>
        <v>0.81313240195240377</v>
      </c>
      <c r="T10">
        <f t="shared" si="5"/>
        <v>0.18393972058572114</v>
      </c>
      <c r="U10">
        <f t="shared" si="6"/>
        <v>0.61313240195240382</v>
      </c>
      <c r="V10">
        <f t="shared" si="7"/>
        <v>12.262648039048077</v>
      </c>
      <c r="W10">
        <f t="shared" si="8"/>
        <v>245.25296078096153</v>
      </c>
      <c r="X10">
        <f t="shared" si="9"/>
        <v>4905.0592156192306</v>
      </c>
      <c r="Y10">
        <f t="shared" si="10"/>
        <v>98101.184312384605</v>
      </c>
    </row>
    <row r="11" spans="1:26" x14ac:dyDescent="0.25">
      <c r="B11">
        <f t="shared" ref="B11:B48" si="13">B10+$B$7</f>
        <v>15</v>
      </c>
      <c r="D11" s="4">
        <f t="shared" si="1"/>
        <v>1.2551071508349185</v>
      </c>
      <c r="E11" s="4">
        <f t="shared" si="2"/>
        <v>9.0827889458046119E-123</v>
      </c>
      <c r="F11" s="4">
        <f t="shared" si="11"/>
        <v>1.2551071508349185</v>
      </c>
      <c r="G11" s="4">
        <f t="shared" ref="G11:G48" si="14">G10+F11</f>
        <v>1.994600106894121</v>
      </c>
      <c r="H11" s="4">
        <f t="shared" si="3"/>
        <v>8.6717840746441763E-3</v>
      </c>
      <c r="I11" s="4">
        <f t="shared" si="12"/>
        <v>6.0811426316045045E-4</v>
      </c>
      <c r="J11" s="4">
        <f t="shared" si="4"/>
        <v>1.4551071508349185</v>
      </c>
      <c r="T11">
        <f t="shared" si="5"/>
        <v>0.25102143016698369</v>
      </c>
      <c r="U11">
        <f t="shared" si="6"/>
        <v>1.2551071508349185</v>
      </c>
      <c r="V11">
        <f t="shared" si="7"/>
        <v>37.653214525047559</v>
      </c>
      <c r="W11">
        <f t="shared" si="8"/>
        <v>1129.5964357514267</v>
      </c>
      <c r="X11">
        <f t="shared" si="9"/>
        <v>33887.8930725428</v>
      </c>
      <c r="Y11">
        <f t="shared" si="10"/>
        <v>1016636.792176284</v>
      </c>
    </row>
    <row r="12" spans="1:26" x14ac:dyDescent="0.25">
      <c r="B12">
        <f t="shared" si="13"/>
        <v>20</v>
      </c>
      <c r="D12" s="4">
        <f t="shared" si="1"/>
        <v>1.8044704431548364</v>
      </c>
      <c r="E12" s="4">
        <f t="shared" si="2"/>
        <v>1.415078935106674E-102</v>
      </c>
      <c r="F12" s="4">
        <f t="shared" si="11"/>
        <v>1.8044704431548364</v>
      </c>
      <c r="G12" s="4">
        <f t="shared" si="14"/>
        <v>3.7990705500489574</v>
      </c>
      <c r="H12" s="4">
        <f t="shared" si="3"/>
        <v>2.6716488506192543E-2</v>
      </c>
      <c r="I12" s="4">
        <f t="shared" si="12"/>
        <v>2.4125847063152872E-3</v>
      </c>
      <c r="J12" s="4">
        <f t="shared" si="4"/>
        <v>2.0044704431548364</v>
      </c>
      <c r="T12">
        <f t="shared" si="5"/>
        <v>0.27067056647322546</v>
      </c>
      <c r="U12">
        <f t="shared" si="6"/>
        <v>1.8044704431548364</v>
      </c>
      <c r="V12">
        <f t="shared" si="7"/>
        <v>72.178817726193458</v>
      </c>
      <c r="W12">
        <f t="shared" si="8"/>
        <v>2887.1527090477384</v>
      </c>
      <c r="X12">
        <f t="shared" si="9"/>
        <v>115486.10836190953</v>
      </c>
      <c r="Y12">
        <f t="shared" si="10"/>
        <v>4619444.3344763815</v>
      </c>
    </row>
    <row r="13" spans="1:26" x14ac:dyDescent="0.25">
      <c r="B13">
        <f t="shared" si="13"/>
        <v>25</v>
      </c>
      <c r="D13" s="4">
        <f t="shared" si="1"/>
        <v>2.1376301724973641</v>
      </c>
      <c r="E13" s="4">
        <f t="shared" si="2"/>
        <v>2.1193397561508991E-87</v>
      </c>
      <c r="F13" s="4">
        <f t="shared" si="11"/>
        <v>2.1376301724973641</v>
      </c>
      <c r="G13" s="4">
        <f t="shared" si="14"/>
        <v>5.9367007225463215</v>
      </c>
      <c r="H13" s="4">
        <f t="shared" si="3"/>
        <v>6.0116959951463857E-2</v>
      </c>
      <c r="I13" s="4">
        <f t="shared" si="12"/>
        <v>6.5876436369742015E-3</v>
      </c>
      <c r="J13" s="4">
        <f t="shared" si="4"/>
        <v>2.3376301724973643</v>
      </c>
      <c r="T13">
        <f t="shared" si="5"/>
        <v>0.2565156206996837</v>
      </c>
      <c r="U13">
        <f t="shared" si="6"/>
        <v>2.1376301724973641</v>
      </c>
      <c r="V13">
        <f t="shared" si="7"/>
        <v>106.8815086248682</v>
      </c>
      <c r="W13">
        <f t="shared" si="8"/>
        <v>5344.0754312434101</v>
      </c>
      <c r="X13">
        <f t="shared" si="9"/>
        <v>267203.77156217053</v>
      </c>
      <c r="Y13">
        <f t="shared" si="10"/>
        <v>13360188.578108525</v>
      </c>
    </row>
    <row r="14" spans="1:26" x14ac:dyDescent="0.25">
      <c r="B14">
        <f t="shared" si="13"/>
        <v>30</v>
      </c>
      <c r="D14" s="4">
        <f t="shared" si="1"/>
        <v>2.2404180765538779</v>
      </c>
      <c r="E14" s="4">
        <f t="shared" si="2"/>
        <v>2.1289782176266218E-75</v>
      </c>
      <c r="F14" s="4">
        <f t="shared" si="11"/>
        <v>2.2404180765538779</v>
      </c>
      <c r="G14" s="4">
        <f t="shared" si="14"/>
        <v>8.1771187991001995</v>
      </c>
      <c r="H14" s="4">
        <f t="shared" si="3"/>
        <v>0.11052636667392611</v>
      </c>
      <c r="I14" s="4">
        <f t="shared" si="12"/>
        <v>1.414905464534354E-2</v>
      </c>
      <c r="J14" s="4">
        <f t="shared" si="4"/>
        <v>2.4404180765538781</v>
      </c>
      <c r="T14">
        <f t="shared" si="5"/>
        <v>0.22404180765538778</v>
      </c>
      <c r="U14">
        <f t="shared" si="6"/>
        <v>2.2404180765538779</v>
      </c>
      <c r="V14">
        <f t="shared" si="7"/>
        <v>134.42508459323267</v>
      </c>
      <c r="W14">
        <f t="shared" si="8"/>
        <v>8065.5050755939601</v>
      </c>
      <c r="X14">
        <f t="shared" si="9"/>
        <v>483930.30453563761</v>
      </c>
      <c r="Y14">
        <f t="shared" si="10"/>
        <v>29035818.272138257</v>
      </c>
    </row>
    <row r="15" spans="1:26" x14ac:dyDescent="0.25">
      <c r="B15">
        <f t="shared" si="13"/>
        <v>35</v>
      </c>
      <c r="D15" s="4">
        <f t="shared" si="1"/>
        <v>2.1578546903865097</v>
      </c>
      <c r="E15" s="4">
        <f t="shared" si="2"/>
        <v>1.3809379106701919E-65</v>
      </c>
      <c r="F15" s="4">
        <f t="shared" si="11"/>
        <v>2.1578546903865097</v>
      </c>
      <c r="G15" s="4">
        <f t="shared" si="14"/>
        <v>10.334973489486709</v>
      </c>
      <c r="H15" s="4">
        <f t="shared" si="3"/>
        <v>0.17661066656701296</v>
      </c>
      <c r="I15" s="4">
        <f t="shared" si="12"/>
        <v>2.5713807126633736E-2</v>
      </c>
      <c r="J15" s="4">
        <f t="shared" si="4"/>
        <v>2.3578546903865099</v>
      </c>
      <c r="T15">
        <f t="shared" si="5"/>
        <v>0.18495897346170084</v>
      </c>
      <c r="U15">
        <f t="shared" si="6"/>
        <v>2.1578546903865097</v>
      </c>
      <c r="V15">
        <f t="shared" si="7"/>
        <v>151.04982832705568</v>
      </c>
      <c r="W15">
        <f t="shared" si="8"/>
        <v>10573.487982893897</v>
      </c>
      <c r="X15">
        <f t="shared" si="9"/>
        <v>740144.15880257287</v>
      </c>
      <c r="Y15">
        <f t="shared" si="10"/>
        <v>51810091.1161801</v>
      </c>
    </row>
    <row r="16" spans="1:26" x14ac:dyDescent="0.25">
      <c r="B16">
        <f t="shared" si="13"/>
        <v>40</v>
      </c>
      <c r="D16" s="4">
        <f t="shared" si="1"/>
        <v>1.9536681481316462</v>
      </c>
      <c r="E16" s="4">
        <f t="shared" si="2"/>
        <v>2.2349110968198441E-57</v>
      </c>
      <c r="F16" s="4">
        <f t="shared" si="11"/>
        <v>1.9536681481316462</v>
      </c>
      <c r="G16" s="4">
        <f t="shared" si="14"/>
        <v>12.288641637618355</v>
      </c>
      <c r="H16" s="4">
        <f t="shared" si="3"/>
        <v>0.2547573924922788</v>
      </c>
      <c r="I16" s="4">
        <f t="shared" si="12"/>
        <v>4.1343152311686907E-2</v>
      </c>
      <c r="J16" s="4">
        <f t="shared" si="4"/>
        <v>2.1536681481316462</v>
      </c>
      <c r="T16">
        <f t="shared" si="5"/>
        <v>0.14652511110987348</v>
      </c>
      <c r="U16">
        <f t="shared" si="6"/>
        <v>1.9536681481316462</v>
      </c>
      <c r="V16">
        <f t="shared" si="7"/>
        <v>156.29345185053171</v>
      </c>
      <c r="W16">
        <f t="shared" si="8"/>
        <v>12503.476148042537</v>
      </c>
      <c r="X16">
        <f t="shared" si="9"/>
        <v>1000278.0918434028</v>
      </c>
      <c r="Y16">
        <f t="shared" si="10"/>
        <v>80022247.347472236</v>
      </c>
    </row>
    <row r="17" spans="2:25" x14ac:dyDescent="0.25">
      <c r="B17">
        <f t="shared" si="13"/>
        <v>45</v>
      </c>
      <c r="D17" s="4">
        <f t="shared" si="1"/>
        <v>1.6871788492455508</v>
      </c>
      <c r="E17" s="4">
        <f t="shared" si="2"/>
        <v>2.1581884324070057E-50</v>
      </c>
      <c r="F17" s="4">
        <f t="shared" si="11"/>
        <v>1.6871788492455508</v>
      </c>
      <c r="G17" s="4">
        <f t="shared" si="14"/>
        <v>13.975820486863906</v>
      </c>
      <c r="H17" s="4">
        <f t="shared" si="3"/>
        <v>0.34017082173533481</v>
      </c>
      <c r="I17" s="4">
        <f t="shared" si="12"/>
        <v>6.0561173891374512E-2</v>
      </c>
      <c r="J17" s="4">
        <f t="shared" si="4"/>
        <v>1.8871788492455508</v>
      </c>
      <c r="T17">
        <f t="shared" si="5"/>
        <v>0.11247858994970339</v>
      </c>
      <c r="U17">
        <f t="shared" si="6"/>
        <v>1.6871788492455508</v>
      </c>
      <c r="V17">
        <f t="shared" si="7"/>
        <v>151.84609643209959</v>
      </c>
      <c r="W17">
        <f t="shared" si="8"/>
        <v>13666.148678888962</v>
      </c>
      <c r="X17">
        <f t="shared" si="9"/>
        <v>1229953.3811000066</v>
      </c>
      <c r="Y17">
        <f t="shared" si="10"/>
        <v>110695804.29900059</v>
      </c>
    </row>
    <row r="18" spans="2:25" x14ac:dyDescent="0.25">
      <c r="B18">
        <f t="shared" si="13"/>
        <v>50</v>
      </c>
      <c r="D18" s="4">
        <f t="shared" si="1"/>
        <v>1.4037389581428059</v>
      </c>
      <c r="E18" s="4">
        <f t="shared" si="2"/>
        <v>2.2553178712623981E-44</v>
      </c>
      <c r="F18" s="4">
        <f t="shared" si="11"/>
        <v>1.4037389581428059</v>
      </c>
      <c r="G18" s="4">
        <f t="shared" si="14"/>
        <v>15.379559445006713</v>
      </c>
      <c r="H18" s="4">
        <f t="shared" si="3"/>
        <v>0.42790450661926016</v>
      </c>
      <c r="I18" s="4">
        <f t="shared" si="12"/>
        <v>8.2494595112355851E-2</v>
      </c>
      <c r="J18" s="4">
        <f t="shared" si="4"/>
        <v>1.6037389581428059</v>
      </c>
      <c r="T18">
        <f t="shared" si="5"/>
        <v>8.4224337488568363E-2</v>
      </c>
      <c r="U18">
        <f t="shared" si="6"/>
        <v>1.4037389581428059</v>
      </c>
      <c r="V18">
        <f t="shared" si="7"/>
        <v>140.37389581428059</v>
      </c>
      <c r="W18">
        <f t="shared" si="8"/>
        <v>14037.389581428059</v>
      </c>
      <c r="X18">
        <f t="shared" si="9"/>
        <v>1403738.9581428058</v>
      </c>
      <c r="Y18">
        <f t="shared" si="10"/>
        <v>140373895.8142806</v>
      </c>
    </row>
    <row r="19" spans="2:25" x14ac:dyDescent="0.25">
      <c r="B19">
        <f t="shared" si="13"/>
        <v>55</v>
      </c>
      <c r="D19" s="4">
        <f t="shared" si="1"/>
        <v>1.1332276634574321</v>
      </c>
      <c r="E19" s="4">
        <f t="shared" si="2"/>
        <v>3.8996532771555796E-39</v>
      </c>
      <c r="F19" s="4">
        <f t="shared" si="11"/>
        <v>1.1332276634574321</v>
      </c>
      <c r="G19" s="4">
        <f t="shared" si="14"/>
        <v>16.512787108464146</v>
      </c>
      <c r="H19" s="4">
        <f t="shared" si="3"/>
        <v>0.51360484866822853</v>
      </c>
      <c r="I19" s="4">
        <f t="shared" si="12"/>
        <v>0.10606218917582214</v>
      </c>
      <c r="J19" s="4">
        <f t="shared" si="4"/>
        <v>1.333227663457432</v>
      </c>
      <c r="T19">
        <f t="shared" si="5"/>
        <v>6.1812418006769024E-2</v>
      </c>
      <c r="U19">
        <f t="shared" si="6"/>
        <v>1.1332276634574321</v>
      </c>
      <c r="V19">
        <f t="shared" si="7"/>
        <v>124.65504298031753</v>
      </c>
      <c r="W19">
        <f t="shared" si="8"/>
        <v>13712.054727834928</v>
      </c>
      <c r="X19">
        <f t="shared" si="9"/>
        <v>1508326.0200618422</v>
      </c>
      <c r="Y19">
        <f t="shared" si="10"/>
        <v>165915862.20680264</v>
      </c>
    </row>
    <row r="20" spans="2:25" x14ac:dyDescent="0.25">
      <c r="B20">
        <f t="shared" si="13"/>
        <v>60</v>
      </c>
      <c r="D20" s="4">
        <f t="shared" si="1"/>
        <v>0.89235078359988906</v>
      </c>
      <c r="E20" s="4">
        <f t="shared" si="2"/>
        <v>1.5265322535618977E-34</v>
      </c>
      <c r="F20" s="4">
        <f t="shared" si="11"/>
        <v>0.89235078359988906</v>
      </c>
      <c r="G20" s="4">
        <f t="shared" si="14"/>
        <v>17.405137892064033</v>
      </c>
      <c r="H20" s="4">
        <f t="shared" si="3"/>
        <v>0.5939164191922186</v>
      </c>
      <c r="I20" s="4">
        <f t="shared" si="12"/>
        <v>0.13015566033301915</v>
      </c>
      <c r="J20" s="4">
        <f t="shared" si="4"/>
        <v>1.0923507835998891</v>
      </c>
      <c r="T20">
        <f t="shared" si="5"/>
        <v>4.4617539179994455E-2</v>
      </c>
      <c r="U20">
        <f t="shared" si="6"/>
        <v>0.89235078359988906</v>
      </c>
      <c r="V20">
        <f t="shared" si="7"/>
        <v>107.08209403198668</v>
      </c>
      <c r="W20">
        <f t="shared" si="8"/>
        <v>12849.851283838403</v>
      </c>
      <c r="X20">
        <f t="shared" si="9"/>
        <v>1541982.1540606082</v>
      </c>
      <c r="Y20">
        <f t="shared" si="10"/>
        <v>185037858.48727301</v>
      </c>
    </row>
    <row r="21" spans="2:25" x14ac:dyDescent="0.25">
      <c r="B21">
        <f t="shared" si="13"/>
        <v>65</v>
      </c>
      <c r="D21" s="4">
        <f t="shared" si="1"/>
        <v>0.68813664728577639</v>
      </c>
      <c r="E21" s="4">
        <f t="shared" si="2"/>
        <v>1.7165268286493767E-30</v>
      </c>
      <c r="F21" s="4">
        <f t="shared" si="11"/>
        <v>0.68813664728577639</v>
      </c>
      <c r="G21" s="4">
        <f t="shared" si="14"/>
        <v>18.09327453934981</v>
      </c>
      <c r="H21" s="4">
        <f t="shared" si="3"/>
        <v>0.6666008525617787</v>
      </c>
      <c r="I21" s="4">
        <f t="shared" si="12"/>
        <v>0.15377810117812618</v>
      </c>
      <c r="J21" s="4">
        <f t="shared" si="4"/>
        <v>0.88813664728577635</v>
      </c>
      <c r="T21">
        <f t="shared" si="5"/>
        <v>3.1760152951651223E-2</v>
      </c>
      <c r="U21">
        <f t="shared" si="6"/>
        <v>0.68813664728577639</v>
      </c>
      <c r="V21">
        <f t="shared" si="7"/>
        <v>89.457764147150925</v>
      </c>
      <c r="W21">
        <f t="shared" si="8"/>
        <v>11629.509339129621</v>
      </c>
      <c r="X21">
        <f t="shared" si="9"/>
        <v>1511836.2140868506</v>
      </c>
      <c r="Y21">
        <f t="shared" si="10"/>
        <v>196538707.8312906</v>
      </c>
    </row>
    <row r="22" spans="2:25" x14ac:dyDescent="0.25">
      <c r="B22">
        <f t="shared" si="13"/>
        <v>70</v>
      </c>
      <c r="D22" s="4">
        <f t="shared" si="1"/>
        <v>0.52129252364199874</v>
      </c>
      <c r="E22" s="4">
        <f t="shared" si="2"/>
        <v>6.6717000011185639E-27</v>
      </c>
      <c r="F22" s="4">
        <f t="shared" si="11"/>
        <v>0.52129252364199874</v>
      </c>
      <c r="G22" s="4">
        <f t="shared" si="14"/>
        <v>18.61456706299181</v>
      </c>
      <c r="H22" s="4">
        <f t="shared" si="3"/>
        <v>0.73045918670792354</v>
      </c>
      <c r="I22" s="4">
        <f t="shared" si="12"/>
        <v>0.17612851812927688</v>
      </c>
      <c r="J22" s="4">
        <f t="shared" si="4"/>
        <v>0.7212925236419987</v>
      </c>
      <c r="T22">
        <f t="shared" si="5"/>
        <v>2.234110815608566E-2</v>
      </c>
      <c r="U22">
        <f t="shared" si="6"/>
        <v>0.52129252364199874</v>
      </c>
      <c r="V22">
        <f t="shared" si="7"/>
        <v>72.980953309879823</v>
      </c>
      <c r="W22">
        <f t="shared" si="8"/>
        <v>10217.333463383175</v>
      </c>
      <c r="X22">
        <f t="shared" si="9"/>
        <v>1430426.6848736445</v>
      </c>
      <c r="Y22">
        <f t="shared" si="10"/>
        <v>200259735.88231024</v>
      </c>
    </row>
    <row r="23" spans="2:25" x14ac:dyDescent="0.25">
      <c r="B23">
        <f t="shared" si="13"/>
        <v>75</v>
      </c>
      <c r="D23" s="4">
        <f t="shared" si="1"/>
        <v>0.38888744776019574</v>
      </c>
      <c r="E23" s="4">
        <f t="shared" si="2"/>
        <v>1.0379611168630867E-23</v>
      </c>
      <c r="F23" s="4">
        <f t="shared" si="11"/>
        <v>0.38888744776019574</v>
      </c>
      <c r="G23" s="4">
        <f t="shared" si="14"/>
        <v>19.003454510752007</v>
      </c>
      <c r="H23" s="4">
        <f t="shared" si="3"/>
        <v>0.78514648404920107</v>
      </c>
      <c r="I23" s="4">
        <f t="shared" si="12"/>
        <v>0.19663625463225595</v>
      </c>
      <c r="J23" s="4">
        <f t="shared" si="4"/>
        <v>0.58888744776019575</v>
      </c>
      <c r="T23">
        <f t="shared" si="5"/>
        <v>1.5555497910407829E-2</v>
      </c>
      <c r="U23">
        <f t="shared" si="6"/>
        <v>0.38888744776019574</v>
      </c>
      <c r="V23">
        <f t="shared" si="7"/>
        <v>58.33311716402936</v>
      </c>
      <c r="W23">
        <f t="shared" si="8"/>
        <v>8749.9675746044049</v>
      </c>
      <c r="X23">
        <f t="shared" si="9"/>
        <v>1312495.1361906605</v>
      </c>
      <c r="Y23">
        <f t="shared" si="10"/>
        <v>196874270.42859909</v>
      </c>
    </row>
    <row r="24" spans="2:25" x14ac:dyDescent="0.25">
      <c r="B24">
        <f t="shared" si="13"/>
        <v>80</v>
      </c>
      <c r="D24" s="4">
        <f t="shared" si="1"/>
        <v>0.28626144247681018</v>
      </c>
      <c r="E24" s="4">
        <f t="shared" si="2"/>
        <v>7.2752881608338612E-21</v>
      </c>
      <c r="F24" s="4">
        <f t="shared" si="11"/>
        <v>0.28626144247681018</v>
      </c>
      <c r="G24" s="4">
        <f t="shared" si="14"/>
        <v>19.289715953228818</v>
      </c>
      <c r="H24" s="4">
        <f t="shared" si="3"/>
        <v>0.8309483148454907</v>
      </c>
      <c r="I24" s="4">
        <f t="shared" si="12"/>
        <v>0.21495698695077181</v>
      </c>
      <c r="J24" s="4">
        <f t="shared" si="4"/>
        <v>0.48626144247681019</v>
      </c>
      <c r="T24">
        <f t="shared" si="5"/>
        <v>1.0734804092880381E-2</v>
      </c>
      <c r="U24">
        <f t="shared" si="6"/>
        <v>0.28626144247681018</v>
      </c>
      <c r="V24">
        <f t="shared" si="7"/>
        <v>45.801830796289629</v>
      </c>
      <c r="W24">
        <f t="shared" si="8"/>
        <v>7328.2929274063408</v>
      </c>
      <c r="X24">
        <f t="shared" si="9"/>
        <v>1172526.8683850146</v>
      </c>
      <c r="Y24">
        <f t="shared" si="10"/>
        <v>187604298.94160232</v>
      </c>
    </row>
    <row r="25" spans="2:25" x14ac:dyDescent="0.25">
      <c r="B25">
        <f t="shared" si="13"/>
        <v>85</v>
      </c>
      <c r="D25" s="4">
        <f t="shared" si="1"/>
        <v>0.2082583535311032</v>
      </c>
      <c r="E25" s="4">
        <f t="shared" si="2"/>
        <v>2.5307999743852897E-18</v>
      </c>
      <c r="F25" s="4">
        <f t="shared" si="11"/>
        <v>0.2082583535311032</v>
      </c>
      <c r="G25" s="4">
        <f t="shared" si="14"/>
        <v>19.497974306759922</v>
      </c>
      <c r="H25" s="4">
        <f t="shared" si="3"/>
        <v>0.86856497995204618</v>
      </c>
      <c r="I25" s="4">
        <f t="shared" si="12"/>
        <v>0.2309440696210579</v>
      </c>
      <c r="J25" s="4">
        <f t="shared" si="4"/>
        <v>0.40825835353110318</v>
      </c>
      <c r="T25">
        <f t="shared" si="5"/>
        <v>7.3502948305095243E-3</v>
      </c>
      <c r="U25">
        <f t="shared" si="6"/>
        <v>0.2082583535311032</v>
      </c>
      <c r="V25">
        <f t="shared" si="7"/>
        <v>35.403920100287543</v>
      </c>
      <c r="W25">
        <f t="shared" si="8"/>
        <v>6018.6664170488821</v>
      </c>
      <c r="X25">
        <f t="shared" si="9"/>
        <v>1023173.29089831</v>
      </c>
      <c r="Y25">
        <f t="shared" si="10"/>
        <v>173939459.45271271</v>
      </c>
    </row>
    <row r="26" spans="2:25" x14ac:dyDescent="0.25">
      <c r="B26">
        <f t="shared" si="13"/>
        <v>90</v>
      </c>
      <c r="D26" s="4">
        <f t="shared" si="1"/>
        <v>0.14994291196531567</v>
      </c>
      <c r="E26" s="4">
        <f t="shared" si="2"/>
        <v>4.7337672275594919E-16</v>
      </c>
      <c r="F26" s="4">
        <f t="shared" si="11"/>
        <v>0.14994291196531614</v>
      </c>
      <c r="G26" s="4">
        <f t="shared" si="14"/>
        <v>19.647917218725237</v>
      </c>
      <c r="H26" s="4">
        <f t="shared" si="3"/>
        <v>0.89892841962502268</v>
      </c>
      <c r="I26" s="4">
        <f t="shared" si="12"/>
        <v>0.24460761747389734</v>
      </c>
      <c r="J26" s="4">
        <f t="shared" si="4"/>
        <v>0.34994291196531613</v>
      </c>
      <c r="T26">
        <f t="shared" si="5"/>
        <v>4.9980970655105379E-3</v>
      </c>
      <c r="U26">
        <f t="shared" si="6"/>
        <v>0.14994291196531614</v>
      </c>
      <c r="V26">
        <f t="shared" si="7"/>
        <v>26.989724153756907</v>
      </c>
      <c r="W26">
        <f t="shared" si="8"/>
        <v>4858.1503476762427</v>
      </c>
      <c r="X26">
        <f t="shared" si="9"/>
        <v>874467.06258172379</v>
      </c>
      <c r="Y26">
        <f t="shared" si="10"/>
        <v>157404071.26471028</v>
      </c>
    </row>
    <row r="27" spans="2:25" x14ac:dyDescent="0.25">
      <c r="B27">
        <f t="shared" si="13"/>
        <v>95</v>
      </c>
      <c r="D27" s="4">
        <f t="shared" si="1"/>
        <v>0.10696014608327889</v>
      </c>
      <c r="E27" s="4">
        <f t="shared" si="2"/>
        <v>5.0915574237567671E-14</v>
      </c>
      <c r="F27" s="4">
        <f t="shared" si="11"/>
        <v>0.10696014608332981</v>
      </c>
      <c r="G27" s="4">
        <f t="shared" si="14"/>
        <v>19.754877364808568</v>
      </c>
      <c r="H27" s="4">
        <f t="shared" si="3"/>
        <v>0.92306130258507402</v>
      </c>
      <c r="I27" s="4">
        <f t="shared" si="12"/>
        <v>0.25607073687992171</v>
      </c>
      <c r="J27" s="4">
        <f t="shared" si="4"/>
        <v>0.30696014608332983</v>
      </c>
      <c r="T27">
        <f t="shared" si="5"/>
        <v>3.377688823684099E-3</v>
      </c>
      <c r="U27">
        <f t="shared" si="6"/>
        <v>0.10696014608332981</v>
      </c>
      <c r="V27">
        <f t="shared" si="7"/>
        <v>20.322427755832663</v>
      </c>
      <c r="W27">
        <f t="shared" si="8"/>
        <v>3861.261273608206</v>
      </c>
      <c r="X27">
        <f t="shared" si="9"/>
        <v>733639.64198555914</v>
      </c>
      <c r="Y27">
        <f t="shared" si="10"/>
        <v>139391531.97725624</v>
      </c>
    </row>
    <row r="28" spans="2:25" x14ac:dyDescent="0.25">
      <c r="B28">
        <f t="shared" si="13"/>
        <v>100</v>
      </c>
      <c r="D28" s="4">
        <f t="shared" si="1"/>
        <v>7.5666549604141417E-2</v>
      </c>
      <c r="E28" s="4">
        <f t="shared" si="2"/>
        <v>3.333134892510029E-12</v>
      </c>
      <c r="F28" s="4">
        <f t="shared" si="11"/>
        <v>7.5666549607474556E-2</v>
      </c>
      <c r="G28" s="4">
        <f t="shared" si="14"/>
        <v>19.830543914416044</v>
      </c>
      <c r="H28" s="4">
        <f t="shared" si="3"/>
        <v>0.94197793998694268</v>
      </c>
      <c r="I28" s="4">
        <f t="shared" si="12"/>
        <v>0.26552905558085604</v>
      </c>
      <c r="J28" s="4">
        <f t="shared" si="4"/>
        <v>0.27566654960747455</v>
      </c>
      <c r="T28">
        <f t="shared" si="5"/>
        <v>2.2699964882242369E-3</v>
      </c>
      <c r="U28">
        <f t="shared" si="6"/>
        <v>7.5666549607474556E-2</v>
      </c>
      <c r="V28">
        <f t="shared" si="7"/>
        <v>15.133309921494911</v>
      </c>
      <c r="W28">
        <f t="shared" si="8"/>
        <v>3026.6619842989821</v>
      </c>
      <c r="X28">
        <f t="shared" si="9"/>
        <v>605332.39685979648</v>
      </c>
      <c r="Y28">
        <f t="shared" si="10"/>
        <v>121066479.37195928</v>
      </c>
    </row>
    <row r="29" spans="2:25" x14ac:dyDescent="0.25">
      <c r="B29">
        <f t="shared" si="13"/>
        <v>105</v>
      </c>
      <c r="D29" s="4">
        <f t="shared" si="1"/>
        <v>5.3128136964168453E-2</v>
      </c>
      <c r="E29" s="4">
        <f t="shared" si="2"/>
        <v>1.394007190700962E-10</v>
      </c>
      <c r="F29" s="4">
        <f t="shared" si="11"/>
        <v>5.3128137103569173E-2</v>
      </c>
      <c r="G29" s="4">
        <f t="shared" si="14"/>
        <v>19.883672051519614</v>
      </c>
      <c r="H29" s="4">
        <f t="shared" si="3"/>
        <v>0.95662138277611397</v>
      </c>
      <c r="I29" s="4">
        <f t="shared" si="12"/>
        <v>0.27321686304517095</v>
      </c>
      <c r="J29" s="4">
        <f t="shared" si="4"/>
        <v>0.25312813710356918</v>
      </c>
      <c r="T29">
        <f t="shared" si="5"/>
        <v>1.5179467743876907E-3</v>
      </c>
      <c r="U29">
        <f t="shared" si="6"/>
        <v>5.3128137103569173E-2</v>
      </c>
      <c r="V29">
        <f t="shared" si="7"/>
        <v>11.156908791749526</v>
      </c>
      <c r="W29">
        <f t="shared" si="8"/>
        <v>2342.9508462674007</v>
      </c>
      <c r="X29">
        <f t="shared" si="9"/>
        <v>492019.67771615414</v>
      </c>
      <c r="Y29">
        <f t="shared" si="10"/>
        <v>103324132.32039237</v>
      </c>
    </row>
    <row r="30" spans="2:25" x14ac:dyDescent="0.25">
      <c r="B30">
        <f t="shared" si="13"/>
        <v>110</v>
      </c>
      <c r="D30" s="4">
        <f t="shared" si="1"/>
        <v>3.7049939586361616E-2</v>
      </c>
      <c r="E30" s="4">
        <f t="shared" si="2"/>
        <v>3.8832800736080952E-9</v>
      </c>
      <c r="F30" s="4">
        <f t="shared" si="11"/>
        <v>3.7049943469641688E-2</v>
      </c>
      <c r="G30" s="4">
        <f t="shared" si="14"/>
        <v>19.920721994989258</v>
      </c>
      <c r="H30" s="4">
        <f t="shared" si="3"/>
        <v>0.96782899067568062</v>
      </c>
      <c r="I30" s="4">
        <f t="shared" si="12"/>
        <v>0.27938104738993258</v>
      </c>
      <c r="J30" s="4">
        <f t="shared" si="4"/>
        <v>0.2370499434696417</v>
      </c>
      <c r="T30">
        <f t="shared" si="5"/>
        <v>1.0104530037175006E-3</v>
      </c>
      <c r="U30">
        <f t="shared" si="6"/>
        <v>3.7049943469641688E-2</v>
      </c>
      <c r="V30">
        <f t="shared" si="7"/>
        <v>8.1509875633211717</v>
      </c>
      <c r="W30">
        <f t="shared" si="8"/>
        <v>1793.2172639306577</v>
      </c>
      <c r="X30">
        <f t="shared" si="9"/>
        <v>394507.79806474468</v>
      </c>
      <c r="Y30">
        <f t="shared" si="10"/>
        <v>86791715.574243829</v>
      </c>
    </row>
    <row r="31" spans="2:25" x14ac:dyDescent="0.25">
      <c r="B31">
        <f t="shared" si="13"/>
        <v>115</v>
      </c>
      <c r="D31" s="4">
        <f t="shared" si="1"/>
        <v>2.5677676836362469E-2</v>
      </c>
      <c r="E31" s="4">
        <f t="shared" si="2"/>
        <v>7.4704899310805436E-8</v>
      </c>
      <c r="F31" s="4">
        <f t="shared" si="11"/>
        <v>2.5677751541261781E-2</v>
      </c>
      <c r="G31" s="4">
        <f t="shared" si="14"/>
        <v>19.946399746530521</v>
      </c>
      <c r="H31" s="4">
        <f t="shared" si="3"/>
        <v>0.97631869727901033</v>
      </c>
      <c r="I31" s="4">
        <f t="shared" si="12"/>
        <v>0.28426262868684715</v>
      </c>
      <c r="J31" s="4">
        <f t="shared" si="4"/>
        <v>0.2256777515412618</v>
      </c>
      <c r="T31">
        <f t="shared" si="5"/>
        <v>6.6985438803291602E-4</v>
      </c>
      <c r="U31">
        <f t="shared" si="6"/>
        <v>2.5677751541261781E-2</v>
      </c>
      <c r="V31">
        <f t="shared" si="7"/>
        <v>5.9058828544902093</v>
      </c>
      <c r="W31">
        <f t="shared" si="8"/>
        <v>1358.3530565327483</v>
      </c>
      <c r="X31">
        <f t="shared" si="9"/>
        <v>312421.20300253207</v>
      </c>
      <c r="Y31">
        <f t="shared" si="10"/>
        <v>71856876.69058238</v>
      </c>
    </row>
    <row r="32" spans="2:25" x14ac:dyDescent="0.25">
      <c r="B32">
        <f t="shared" si="13"/>
        <v>120</v>
      </c>
      <c r="D32" s="4">
        <f t="shared" si="1"/>
        <v>1.7695331577585256E-2</v>
      </c>
      <c r="E32" s="4">
        <f t="shared" si="2"/>
        <v>1.0242507589855228E-6</v>
      </c>
      <c r="F32" s="4">
        <f t="shared" si="11"/>
        <v>1.7696355828344241E-2</v>
      </c>
      <c r="G32" s="4">
        <f t="shared" si="14"/>
        <v>19.964096102358866</v>
      </c>
      <c r="H32" s="4">
        <f t="shared" si="3"/>
        <v>0.98268938537721429</v>
      </c>
      <c r="I32" s="4">
        <f t="shared" si="12"/>
        <v>0.28808504154576953</v>
      </c>
      <c r="J32" s="4">
        <f t="shared" si="4"/>
        <v>0.21769635582834426</v>
      </c>
      <c r="T32">
        <f t="shared" si="5"/>
        <v>4.4240889570860606E-4</v>
      </c>
      <c r="U32">
        <f t="shared" si="6"/>
        <v>1.7696355828344241E-2</v>
      </c>
      <c r="V32">
        <f t="shared" si="7"/>
        <v>4.2471253988026181</v>
      </c>
      <c r="W32">
        <f t="shared" si="8"/>
        <v>1019.3100957126283</v>
      </c>
      <c r="X32">
        <f t="shared" si="9"/>
        <v>244634.42297103078</v>
      </c>
      <c r="Y32">
        <f t="shared" si="10"/>
        <v>58712261.51304739</v>
      </c>
    </row>
    <row r="33" spans="2:25" x14ac:dyDescent="0.25">
      <c r="B33">
        <f t="shared" si="13"/>
        <v>125</v>
      </c>
      <c r="D33" s="4">
        <f t="shared" si="1"/>
        <v>1.2131032461193594E-2</v>
      </c>
      <c r="E33" s="4">
        <f t="shared" si="2"/>
        <v>1.0289237001535667E-5</v>
      </c>
      <c r="F33" s="4">
        <f t="shared" si="11"/>
        <v>1.2141321698195129E-2</v>
      </c>
      <c r="G33" s="4">
        <f t="shared" si="14"/>
        <v>19.976237424057061</v>
      </c>
      <c r="H33" s="4">
        <f t="shared" si="3"/>
        <v>0.98743208916557179</v>
      </c>
      <c r="I33" s="4">
        <f t="shared" si="12"/>
        <v>0.29104923141349293</v>
      </c>
      <c r="J33" s="4">
        <f t="shared" si="4"/>
        <v>0.21214132169819513</v>
      </c>
      <c r="T33">
        <f t="shared" si="5"/>
        <v>2.9139172075668307E-4</v>
      </c>
      <c r="U33">
        <f t="shared" si="6"/>
        <v>1.2141321698195129E-2</v>
      </c>
      <c r="V33">
        <f t="shared" si="7"/>
        <v>3.035330424548782</v>
      </c>
      <c r="W33">
        <f t="shared" si="8"/>
        <v>758.83260613719551</v>
      </c>
      <c r="X33">
        <f t="shared" si="9"/>
        <v>189708.15153429887</v>
      </c>
      <c r="Y33">
        <f t="shared" si="10"/>
        <v>47427037.883574724</v>
      </c>
    </row>
    <row r="34" spans="2:25" x14ac:dyDescent="0.25">
      <c r="B34">
        <f t="shared" si="13"/>
        <v>130</v>
      </c>
      <c r="D34" s="4">
        <f t="shared" si="1"/>
        <v>8.2765728452289609E-3</v>
      </c>
      <c r="E34" s="4">
        <f t="shared" si="2"/>
        <v>7.7602997345027386E-5</v>
      </c>
      <c r="F34" s="4">
        <f t="shared" si="11"/>
        <v>8.3541758425739882E-3</v>
      </c>
      <c r="G34" s="4">
        <f t="shared" si="14"/>
        <v>19.984591599899634</v>
      </c>
      <c r="H34" s="4">
        <f t="shared" si="3"/>
        <v>0.99096172845905928</v>
      </c>
      <c r="I34" s="4">
        <f t="shared" si="12"/>
        <v>0.29334349695425982</v>
      </c>
      <c r="J34" s="4">
        <f t="shared" si="4"/>
        <v>0.20835417584257399</v>
      </c>
      <c r="T34">
        <f t="shared" si="5"/>
        <v>1.9278867329016895E-4</v>
      </c>
      <c r="U34">
        <f t="shared" si="6"/>
        <v>8.3541758425739882E-3</v>
      </c>
      <c r="V34">
        <f t="shared" si="7"/>
        <v>2.1720857190692371</v>
      </c>
      <c r="W34">
        <f t="shared" si="8"/>
        <v>564.74228695800161</v>
      </c>
      <c r="X34">
        <f t="shared" si="9"/>
        <v>146832.99460908043</v>
      </c>
      <c r="Y34">
        <f t="shared" si="10"/>
        <v>38176578.598360911</v>
      </c>
    </row>
    <row r="35" spans="2:25" x14ac:dyDescent="0.25">
      <c r="B35">
        <f t="shared" si="13"/>
        <v>135</v>
      </c>
      <c r="D35" s="4">
        <f t="shared" si="1"/>
        <v>5.6217891036037361E-3</v>
      </c>
      <c r="E35" s="4">
        <f t="shared" si="2"/>
        <v>4.4904574340163942E-4</v>
      </c>
      <c r="F35" s="4">
        <f t="shared" si="11"/>
        <v>6.0708348470053753E-3</v>
      </c>
      <c r="G35" s="4">
        <f t="shared" si="14"/>
        <v>19.990662434746639</v>
      </c>
      <c r="H35" s="4">
        <f t="shared" si="3"/>
        <v>0.99372775258622614</v>
      </c>
      <c r="I35" s="4">
        <f t="shared" si="12"/>
        <v>0.29521056324009742</v>
      </c>
      <c r="J35" s="4">
        <f t="shared" si="4"/>
        <v>0.20607083484700539</v>
      </c>
      <c r="T35">
        <f t="shared" si="5"/>
        <v>1.3490744104456388E-4</v>
      </c>
      <c r="U35">
        <f t="shared" si="6"/>
        <v>6.0708348470053753E-3</v>
      </c>
      <c r="V35">
        <f t="shared" si="7"/>
        <v>1.6391254086914513</v>
      </c>
      <c r="W35">
        <f t="shared" si="8"/>
        <v>442.56386034669185</v>
      </c>
      <c r="X35">
        <f t="shared" si="9"/>
        <v>119492.2422936068</v>
      </c>
      <c r="Y35">
        <f t="shared" si="10"/>
        <v>32262905.419273838</v>
      </c>
    </row>
    <row r="36" spans="2:25" x14ac:dyDescent="0.25">
      <c r="B36">
        <f t="shared" si="13"/>
        <v>140</v>
      </c>
      <c r="D36" s="4">
        <f t="shared" si="1"/>
        <v>3.8028580087003175E-3</v>
      </c>
      <c r="E36" s="4">
        <f t="shared" si="2"/>
        <v>2.0323195750929085E-3</v>
      </c>
      <c r="F36" s="4">
        <f t="shared" si="11"/>
        <v>5.835177583793226E-3</v>
      </c>
      <c r="G36" s="4">
        <f t="shared" si="14"/>
        <v>19.996497612330433</v>
      </c>
      <c r="H36" s="4">
        <f t="shared" si="3"/>
        <v>0.99658698960228487</v>
      </c>
      <c r="I36" s="4">
        <f t="shared" si="12"/>
        <v>0.29721202915133849</v>
      </c>
      <c r="J36" s="4">
        <f t="shared" si="4"/>
        <v>0.20583517758379324</v>
      </c>
      <c r="T36">
        <f t="shared" si="5"/>
        <v>1.2503951965271199E-4</v>
      </c>
      <c r="U36">
        <f t="shared" si="6"/>
        <v>5.835177583793226E-3</v>
      </c>
      <c r="V36">
        <f t="shared" si="7"/>
        <v>1.6338497234621032</v>
      </c>
      <c r="W36">
        <f t="shared" si="8"/>
        <v>457.47792256938891</v>
      </c>
      <c r="X36">
        <f t="shared" si="9"/>
        <v>128093.8183194289</v>
      </c>
      <c r="Y36">
        <f t="shared" si="10"/>
        <v>35866269.129440092</v>
      </c>
    </row>
    <row r="37" spans="2:25" x14ac:dyDescent="0.25">
      <c r="B37">
        <f t="shared" si="13"/>
        <v>145</v>
      </c>
      <c r="D37" s="4">
        <f t="shared" si="1"/>
        <v>2.5626114879933799E-3</v>
      </c>
      <c r="E37" s="4">
        <f t="shared" si="2"/>
        <v>7.3193683610417665E-3</v>
      </c>
      <c r="F37" s="4">
        <f t="shared" si="11"/>
        <v>9.8819798490351468E-3</v>
      </c>
      <c r="G37" s="4">
        <f t="shared" si="14"/>
        <v>20.006379592179467</v>
      </c>
      <c r="H37" s="4">
        <f t="shared" si="3"/>
        <v>1.001781205260434</v>
      </c>
      <c r="I37" s="4">
        <f t="shared" si="12"/>
        <v>0.3009778355034966</v>
      </c>
      <c r="J37" s="4">
        <f t="shared" si="4"/>
        <v>0.20988197984903517</v>
      </c>
      <c r="T37">
        <f t="shared" si="5"/>
        <v>2.044547554972789E-4</v>
      </c>
      <c r="U37">
        <f t="shared" si="6"/>
        <v>9.8819798490351468E-3</v>
      </c>
      <c r="V37">
        <f t="shared" si="7"/>
        <v>2.8657741562201924</v>
      </c>
      <c r="W37">
        <f t="shared" si="8"/>
        <v>831.07450530385586</v>
      </c>
      <c r="X37">
        <f t="shared" si="9"/>
        <v>241011.60653811818</v>
      </c>
      <c r="Y37">
        <f t="shared" si="10"/>
        <v>69893365.896054283</v>
      </c>
    </row>
    <row r="38" spans="2:25" x14ac:dyDescent="0.25">
      <c r="B38">
        <f t="shared" si="13"/>
        <v>150</v>
      </c>
      <c r="D38" s="4">
        <f t="shared" si="1"/>
        <v>1.7207005528227699E-3</v>
      </c>
      <c r="E38" s="4">
        <f t="shared" si="2"/>
        <v>2.1304147769535174E-2</v>
      </c>
      <c r="F38" s="4">
        <f t="shared" si="11"/>
        <v>2.3024848322357943E-2</v>
      </c>
      <c r="G38" s="4">
        <f t="shared" si="14"/>
        <v>20.029404440501825</v>
      </c>
      <c r="H38" s="4">
        <f t="shared" si="3"/>
        <v>1.0147326824417604</v>
      </c>
      <c r="I38" s="4">
        <f t="shared" si="12"/>
        <v>0.31069144338949134</v>
      </c>
      <c r="J38" s="4">
        <f t="shared" si="4"/>
        <v>0.22302484832235794</v>
      </c>
      <c r="T38">
        <f t="shared" si="5"/>
        <v>4.6049696644715881E-4</v>
      </c>
      <c r="U38">
        <f t="shared" si="6"/>
        <v>2.3024848322357943E-2</v>
      </c>
      <c r="V38">
        <f t="shared" si="7"/>
        <v>6.9074544967073832</v>
      </c>
      <c r="W38">
        <f t="shared" si="8"/>
        <v>2072.2363490122148</v>
      </c>
      <c r="X38">
        <f t="shared" si="9"/>
        <v>621670.90470366448</v>
      </c>
      <c r="Y38">
        <f t="shared" si="10"/>
        <v>186501271.41109934</v>
      </c>
    </row>
    <row r="39" spans="2:25" x14ac:dyDescent="0.25">
      <c r="B39">
        <f t="shared" si="13"/>
        <v>155</v>
      </c>
      <c r="D39" s="4">
        <f t="shared" si="1"/>
        <v>1.1515409184102625E-3</v>
      </c>
      <c r="E39" s="4">
        <f t="shared" si="2"/>
        <v>5.0819496485313621E-2</v>
      </c>
      <c r="F39" s="4">
        <f t="shared" si="11"/>
        <v>5.1971037403723885E-2</v>
      </c>
      <c r="G39" s="4">
        <f t="shared" si="14"/>
        <v>20.081375477905549</v>
      </c>
      <c r="H39" s="4">
        <f t="shared" si="3"/>
        <v>1.0459477867823721</v>
      </c>
      <c r="I39" s="4">
        <f t="shared" si="12"/>
        <v>0.33488314925346541</v>
      </c>
      <c r="J39" s="4">
        <f t="shared" si="4"/>
        <v>0.2519710374037239</v>
      </c>
      <c r="T39">
        <f t="shared" si="5"/>
        <v>1.0058910465236882E-3</v>
      </c>
      <c r="U39">
        <f t="shared" si="6"/>
        <v>5.1971037403723885E-2</v>
      </c>
      <c r="V39">
        <f t="shared" si="7"/>
        <v>16.111021595154405</v>
      </c>
      <c r="W39">
        <f t="shared" si="8"/>
        <v>4994.4166944978651</v>
      </c>
      <c r="X39">
        <f t="shared" si="9"/>
        <v>1548269.1752943383</v>
      </c>
      <c r="Y39">
        <f t="shared" si="10"/>
        <v>479963444.34124488</v>
      </c>
    </row>
    <row r="40" spans="2:25" x14ac:dyDescent="0.25">
      <c r="B40">
        <f t="shared" si="13"/>
        <v>160</v>
      </c>
      <c r="D40" s="4">
        <f t="shared" si="1"/>
        <v>7.6824012608347537E-4</v>
      </c>
      <c r="E40" s="4">
        <f t="shared" si="2"/>
        <v>0.10061456900940331</v>
      </c>
      <c r="F40" s="4">
        <f t="shared" si="11"/>
        <v>0.10138280913548679</v>
      </c>
      <c r="G40" s="4">
        <f t="shared" si="14"/>
        <v>20.182758287041036</v>
      </c>
      <c r="H40" s="4">
        <f t="shared" si="3"/>
        <v>1.1108327846290837</v>
      </c>
      <c r="I40" s="4">
        <f t="shared" si="12"/>
        <v>0.38679114753083466</v>
      </c>
      <c r="J40" s="4">
        <f t="shared" si="4"/>
        <v>0.30138280913548682</v>
      </c>
      <c r="T40">
        <f t="shared" si="5"/>
        <v>1.9009276712903772E-3</v>
      </c>
      <c r="U40">
        <f t="shared" si="6"/>
        <v>0.10138280913548679</v>
      </c>
      <c r="V40">
        <f t="shared" si="7"/>
        <v>32.442498923355771</v>
      </c>
      <c r="W40">
        <f t="shared" si="8"/>
        <v>10381.599655473847</v>
      </c>
      <c r="X40">
        <f t="shared" si="9"/>
        <v>3322111.8897516313</v>
      </c>
      <c r="Y40">
        <f t="shared" si="10"/>
        <v>1063075804.720522</v>
      </c>
    </row>
    <row r="41" spans="2:25" x14ac:dyDescent="0.25">
      <c r="B41">
        <f t="shared" si="13"/>
        <v>165</v>
      </c>
      <c r="D41" s="4">
        <f t="shared" si="1"/>
        <v>5.1102439278197102E-4</v>
      </c>
      <c r="E41" s="4">
        <f t="shared" si="2"/>
        <v>0.1672390071337938</v>
      </c>
      <c r="F41" s="4">
        <f t="shared" si="11"/>
        <v>0.16775003152657578</v>
      </c>
      <c r="G41" s="4">
        <f t="shared" si="14"/>
        <v>20.350508318567613</v>
      </c>
      <c r="H41" s="4">
        <f t="shared" si="3"/>
        <v>1.2250076498368594</v>
      </c>
      <c r="I41" s="4">
        <f t="shared" si="12"/>
        <v>0.48098541132724953</v>
      </c>
      <c r="J41" s="4">
        <f t="shared" si="4"/>
        <v>0.36775003152657582</v>
      </c>
      <c r="T41">
        <f t="shared" si="5"/>
        <v>3.0500005732104689E-3</v>
      </c>
      <c r="U41">
        <f t="shared" si="6"/>
        <v>0.16775003152657578</v>
      </c>
      <c r="V41">
        <f t="shared" si="7"/>
        <v>55.357510403770007</v>
      </c>
      <c r="W41">
        <f t="shared" si="8"/>
        <v>18267.978433244101</v>
      </c>
      <c r="X41">
        <f t="shared" si="9"/>
        <v>6028432.8829705538</v>
      </c>
      <c r="Y41">
        <f t="shared" si="10"/>
        <v>1989382851.3802826</v>
      </c>
    </row>
    <row r="42" spans="2:25" x14ac:dyDescent="0.25">
      <c r="B42">
        <f t="shared" si="13"/>
        <v>170</v>
      </c>
      <c r="D42" s="4">
        <f t="shared" si="1"/>
        <v>3.3899190020652523E-4</v>
      </c>
      <c r="E42" s="4">
        <f t="shared" si="2"/>
        <v>0.23582838858269065</v>
      </c>
      <c r="F42" s="4">
        <f t="shared" si="11"/>
        <v>0.23616738048289718</v>
      </c>
      <c r="G42" s="4">
        <f t="shared" si="14"/>
        <v>20.58667569905051</v>
      </c>
      <c r="H42" s="4">
        <f t="shared" si="3"/>
        <v>1.3956385822357527</v>
      </c>
      <c r="I42" s="4">
        <f t="shared" si="12"/>
        <v>0.62602170386630873</v>
      </c>
      <c r="J42" s="4">
        <f t="shared" si="4"/>
        <v>0.43616738048289716</v>
      </c>
      <c r="T42">
        <f t="shared" si="5"/>
        <v>4.1676596555805384E-3</v>
      </c>
      <c r="U42">
        <f t="shared" si="6"/>
        <v>0.23616738048289718</v>
      </c>
      <c r="V42">
        <f t="shared" si="7"/>
        <v>80.296909364185041</v>
      </c>
      <c r="W42">
        <f t="shared" si="8"/>
        <v>27300.949183822915</v>
      </c>
      <c r="X42">
        <f t="shared" si="9"/>
        <v>9282322.7224997915</v>
      </c>
      <c r="Y42">
        <f t="shared" si="10"/>
        <v>3155989725.649929</v>
      </c>
    </row>
    <row r="43" spans="2:25" x14ac:dyDescent="0.25">
      <c r="B43">
        <f t="shared" si="13"/>
        <v>175</v>
      </c>
      <c r="D43" s="4">
        <f t="shared" si="1"/>
        <v>2.2428976833859001E-4</v>
      </c>
      <c r="E43" s="4">
        <f t="shared" si="2"/>
        <v>0.28482457766662128</v>
      </c>
      <c r="F43" s="4">
        <f t="shared" si="11"/>
        <v>0.28504886743495988</v>
      </c>
      <c r="G43" s="4">
        <f t="shared" si="14"/>
        <v>20.871724566485469</v>
      </c>
      <c r="H43" s="4">
        <f t="shared" si="3"/>
        <v>1.6138791213656438</v>
      </c>
      <c r="I43" s="4">
        <f t="shared" si="12"/>
        <v>0.81698217560496356</v>
      </c>
      <c r="J43" s="4">
        <f t="shared" si="4"/>
        <v>0.4850488674349599</v>
      </c>
      <c r="T43">
        <f t="shared" si="5"/>
        <v>4.8865520131707411E-3</v>
      </c>
      <c r="U43">
        <f t="shared" si="6"/>
        <v>0.28504886743495988</v>
      </c>
      <c r="V43">
        <f t="shared" si="7"/>
        <v>99.767103602235963</v>
      </c>
      <c r="W43">
        <f t="shared" si="8"/>
        <v>34918.486260782585</v>
      </c>
      <c r="X43">
        <f t="shared" si="9"/>
        <v>12221470.191273905</v>
      </c>
      <c r="Y43">
        <f t="shared" si="10"/>
        <v>4277514566.9458666</v>
      </c>
    </row>
    <row r="44" spans="2:25" x14ac:dyDescent="0.25">
      <c r="B44">
        <f t="shared" si="13"/>
        <v>180</v>
      </c>
      <c r="D44" s="4">
        <f t="shared" si="1"/>
        <v>1.4803540311860694E-4</v>
      </c>
      <c r="E44" s="4">
        <f t="shared" si="2"/>
        <v>0.29721638746423251</v>
      </c>
      <c r="F44" s="4">
        <f t="shared" si="11"/>
        <v>0.2973644228673511</v>
      </c>
      <c r="G44" s="4">
        <f t="shared" si="14"/>
        <v>21.169088989352819</v>
      </c>
      <c r="H44" s="4">
        <f t="shared" si="3"/>
        <v>1.8547443038881983</v>
      </c>
      <c r="I44" s="4">
        <f t="shared" si="12"/>
        <v>1.0337608398752625</v>
      </c>
      <c r="J44" s="4">
        <f t="shared" si="4"/>
        <v>0.49736442286735111</v>
      </c>
      <c r="T44">
        <f t="shared" si="5"/>
        <v>4.9560737144558513E-3</v>
      </c>
      <c r="U44">
        <f t="shared" si="6"/>
        <v>0.2973644228673511</v>
      </c>
      <c r="V44">
        <f t="shared" si="7"/>
        <v>107.05119223224639</v>
      </c>
      <c r="W44">
        <f t="shared" si="8"/>
        <v>38538.429203608699</v>
      </c>
      <c r="X44">
        <f t="shared" si="9"/>
        <v>13873834.513299134</v>
      </c>
      <c r="Y44">
        <f t="shared" si="10"/>
        <v>4994580424.7876883</v>
      </c>
    </row>
    <row r="45" spans="2:25" x14ac:dyDescent="0.25">
      <c r="B45">
        <f t="shared" si="13"/>
        <v>185</v>
      </c>
      <c r="D45" s="4">
        <f t="shared" si="1"/>
        <v>9.7480112026624382E-5</v>
      </c>
      <c r="E45" s="4">
        <f t="shared" si="2"/>
        <v>0.27012284324556701</v>
      </c>
      <c r="F45" s="4">
        <f t="shared" si="11"/>
        <v>0.27022032335759366</v>
      </c>
      <c r="G45" s="4">
        <f t="shared" si="14"/>
        <v>21.439309312710414</v>
      </c>
      <c r="H45" s="4">
        <f t="shared" si="3"/>
        <v>2.0859515680610397</v>
      </c>
      <c r="I45" s="4">
        <f t="shared" si="12"/>
        <v>1.2476275592351405</v>
      </c>
      <c r="J45" s="4">
        <f t="shared" si="4"/>
        <v>0.47022032335759367</v>
      </c>
      <c r="T45">
        <f t="shared" si="5"/>
        <v>4.3819511895825999E-3</v>
      </c>
      <c r="U45">
        <f t="shared" si="6"/>
        <v>0.27022032335759366</v>
      </c>
      <c r="V45">
        <f t="shared" si="7"/>
        <v>99.981519642309649</v>
      </c>
      <c r="W45">
        <f t="shared" si="8"/>
        <v>36993.162267654574</v>
      </c>
      <c r="X45">
        <f t="shared" si="9"/>
        <v>13687470.039032191</v>
      </c>
      <c r="Y45">
        <f t="shared" si="10"/>
        <v>5064363914.4419107</v>
      </c>
    </row>
    <row r="46" spans="2:25" x14ac:dyDescent="0.25">
      <c r="B46">
        <f t="shared" si="13"/>
        <v>190</v>
      </c>
      <c r="D46" s="4">
        <f t="shared" si="1"/>
        <v>6.404930127511359E-5</v>
      </c>
      <c r="E46" s="4">
        <f t="shared" si="2"/>
        <v>0.21539920162069295</v>
      </c>
      <c r="F46" s="4">
        <f t="shared" si="11"/>
        <v>0.21546325092196808</v>
      </c>
      <c r="G46" s="4">
        <f t="shared" si="14"/>
        <v>21.654772563632381</v>
      </c>
      <c r="H46" s="4">
        <f t="shared" si="3"/>
        <v>2.2804071520181157</v>
      </c>
      <c r="I46" s="4">
        <f t="shared" si="12"/>
        <v>1.4323603639943627</v>
      </c>
      <c r="J46" s="4">
        <f t="shared" si="4"/>
        <v>0.41546325092196812</v>
      </c>
      <c r="T46">
        <f t="shared" si="5"/>
        <v>3.4020513303468646E-3</v>
      </c>
      <c r="U46">
        <f t="shared" si="6"/>
        <v>0.21546325092196808</v>
      </c>
      <c r="V46">
        <f t="shared" si="7"/>
        <v>81.876035350347877</v>
      </c>
      <c r="W46">
        <f t="shared" si="8"/>
        <v>31112.893433132191</v>
      </c>
      <c r="X46">
        <f t="shared" si="9"/>
        <v>11822899.504590232</v>
      </c>
      <c r="Y46">
        <f t="shared" si="10"/>
        <v>4492701811.7442884</v>
      </c>
    </row>
    <row r="47" spans="2:25" x14ac:dyDescent="0.25">
      <c r="B47">
        <f t="shared" si="13"/>
        <v>195</v>
      </c>
      <c r="D47" s="4">
        <f t="shared" si="1"/>
        <v>4.1996218496797562E-5</v>
      </c>
      <c r="E47" s="4">
        <f t="shared" si="2"/>
        <v>0.15173037915335225</v>
      </c>
      <c r="F47" s="4">
        <f t="shared" si="11"/>
        <v>0.15177237537184904</v>
      </c>
      <c r="G47" s="4">
        <f t="shared" si="14"/>
        <v>21.80654493900423</v>
      </c>
      <c r="H47" s="4">
        <f t="shared" si="3"/>
        <v>2.4246857663559798</v>
      </c>
      <c r="I47" s="4">
        <f t="shared" si="12"/>
        <v>1.57303201297378</v>
      </c>
      <c r="J47" s="4">
        <f t="shared" si="4"/>
        <v>0.35177237537184902</v>
      </c>
      <c r="T47">
        <f t="shared" si="5"/>
        <v>2.3349596211053696E-3</v>
      </c>
      <c r="U47">
        <f t="shared" si="6"/>
        <v>0.15177237537184904</v>
      </c>
      <c r="V47">
        <f t="shared" si="7"/>
        <v>59.191226395021125</v>
      </c>
      <c r="W47">
        <f t="shared" si="8"/>
        <v>23084.578294058239</v>
      </c>
      <c r="X47">
        <f t="shared" si="9"/>
        <v>9002985.5346827134</v>
      </c>
      <c r="Y47">
        <f t="shared" si="10"/>
        <v>3511164358.526258</v>
      </c>
    </row>
    <row r="48" spans="2:25" x14ac:dyDescent="0.25">
      <c r="B48">
        <f t="shared" si="13"/>
        <v>200</v>
      </c>
      <c r="D48" s="4">
        <f t="shared" si="1"/>
        <v>2.7482048299180806E-5</v>
      </c>
      <c r="E48" s="4">
        <f t="shared" si="2"/>
        <v>9.5011007526724478E-2</v>
      </c>
      <c r="F48" s="4">
        <f t="shared" si="11"/>
        <v>9.5038489575023657E-2</v>
      </c>
      <c r="G48" s="4">
        <f t="shared" si="14"/>
        <v>21.901583428579254</v>
      </c>
      <c r="H48" s="4">
        <f t="shared" si="3"/>
        <v>2.5197242559310036</v>
      </c>
      <c r="I48" s="4">
        <f t="shared" si="12"/>
        <v>1.6680705025488036</v>
      </c>
      <c r="J48" s="4">
        <f t="shared" si="4"/>
        <v>0.29503848957502365</v>
      </c>
      <c r="T48">
        <f t="shared" si="5"/>
        <v>1.4255773436253549E-3</v>
      </c>
      <c r="U48">
        <f t="shared" si="6"/>
        <v>9.5038489575023657E-2</v>
      </c>
      <c r="V48">
        <f t="shared" si="7"/>
        <v>38.01539583000946</v>
      </c>
      <c r="W48">
        <f t="shared" si="8"/>
        <v>15206.158332003784</v>
      </c>
      <c r="X48">
        <f t="shared" si="9"/>
        <v>6082463.3328015143</v>
      </c>
      <c r="Y48">
        <f t="shared" si="10"/>
        <v>2432985333.1206055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1" sqref="C1"/>
    </sheetView>
  </sheetViews>
  <sheetFormatPr defaultRowHeight="15" x14ac:dyDescent="0.25"/>
  <cols>
    <col min="1" max="1" width="16.5703125" bestFit="1" customWidth="1"/>
    <col min="4" max="4" width="9.5703125" customWidth="1"/>
  </cols>
  <sheetData>
    <row r="1" spans="1:9" x14ac:dyDescent="0.25">
      <c r="C1" s="14" t="s">
        <v>722</v>
      </c>
    </row>
    <row r="2" spans="1:9" x14ac:dyDescent="0.25">
      <c r="A2" t="s">
        <v>72</v>
      </c>
      <c r="B2" s="2">
        <v>20</v>
      </c>
      <c r="C2" t="s">
        <v>1</v>
      </c>
      <c r="D2" s="3">
        <f>B2/1000000000</f>
        <v>2E-8</v>
      </c>
      <c r="E2" t="s">
        <v>3</v>
      </c>
    </row>
    <row r="3" spans="1:9" x14ac:dyDescent="0.25">
      <c r="A3" t="s">
        <v>74</v>
      </c>
      <c r="B3" s="2">
        <v>90</v>
      </c>
      <c r="D3" s="3" t="s">
        <v>75</v>
      </c>
      <c r="E3">
        <f>100-B3</f>
        <v>10</v>
      </c>
    </row>
    <row r="4" spans="1:9" x14ac:dyDescent="0.25">
      <c r="A4" t="s">
        <v>73</v>
      </c>
      <c r="B4" s="2">
        <v>200</v>
      </c>
      <c r="C4" t="s">
        <v>1</v>
      </c>
      <c r="D4" s="3">
        <f>B4/1000000000</f>
        <v>1.9999999999999999E-7</v>
      </c>
      <c r="E4" t="s">
        <v>3</v>
      </c>
    </row>
    <row r="5" spans="1:9" x14ac:dyDescent="0.25">
      <c r="A5" t="s">
        <v>64</v>
      </c>
      <c r="B5" s="2">
        <v>500</v>
      </c>
      <c r="C5" t="s">
        <v>1</v>
      </c>
      <c r="D5" s="3">
        <f>B5/1000000000</f>
        <v>4.9999999999999998E-7</v>
      </c>
      <c r="E5" t="s">
        <v>3</v>
      </c>
      <c r="F5" t="s">
        <v>86</v>
      </c>
      <c r="H5" s="3">
        <f>D5/B7</f>
        <v>3.4482758620689656E-7</v>
      </c>
      <c r="I5" t="s">
        <v>3</v>
      </c>
    </row>
    <row r="6" spans="1:9" x14ac:dyDescent="0.25">
      <c r="A6" t="s">
        <v>68</v>
      </c>
      <c r="B6" s="2">
        <v>2</v>
      </c>
    </row>
    <row r="7" spans="1:9" x14ac:dyDescent="0.25">
      <c r="A7" t="s">
        <v>69</v>
      </c>
      <c r="B7" s="2">
        <v>1.45</v>
      </c>
      <c r="D7" t="s">
        <v>70</v>
      </c>
      <c r="E7">
        <f>(B6^2-1)/(B6^2+1)</f>
        <v>0.6</v>
      </c>
    </row>
    <row r="8" spans="1:9" x14ac:dyDescent="0.25">
      <c r="A8" t="s">
        <v>71</v>
      </c>
      <c r="B8" s="2">
        <v>10</v>
      </c>
      <c r="C8" t="s">
        <v>1</v>
      </c>
      <c r="D8" s="3">
        <f>B8/1000000000</f>
        <v>1E-8</v>
      </c>
      <c r="E8" t="s">
        <v>3</v>
      </c>
    </row>
    <row r="9" spans="1:9" x14ac:dyDescent="0.25">
      <c r="B9" t="s">
        <v>65</v>
      </c>
      <c r="C9" t="s">
        <v>66</v>
      </c>
      <c r="E9" t="s">
        <v>67</v>
      </c>
    </row>
    <row r="10" spans="1:9" x14ac:dyDescent="0.25">
      <c r="E10" t="s">
        <v>76</v>
      </c>
      <c r="F10" t="s">
        <v>77</v>
      </c>
      <c r="G10" t="s">
        <v>78</v>
      </c>
      <c r="H10" t="s">
        <v>79</v>
      </c>
    </row>
    <row r="11" spans="1:9" x14ac:dyDescent="0.25">
      <c r="A11" t="s">
        <v>65</v>
      </c>
      <c r="B11">
        <v>0</v>
      </c>
      <c r="C11" s="4">
        <f>B11*PI()/180</f>
        <v>0</v>
      </c>
      <c r="E11" s="3">
        <f>64*PI()^4*$D$2^6/(8*$D$8^2*$H$5^4)*$E$7*(1+COS(C11)^2)</f>
        <v>4.23294562195171E-2</v>
      </c>
      <c r="F11" s="3">
        <f>64*PI()^4*$D$4^6/(8*$D$8^2*$H$5^4)*$E$7*(1+COS(C11)^2)</f>
        <v>42329.456219517058</v>
      </c>
      <c r="G11" s="3">
        <f>F11/E11</f>
        <v>999999.99999999895</v>
      </c>
      <c r="H11" s="3">
        <f>(E11*$B$3+F11*$E$3)/100</f>
        <v>4232.9837184623029</v>
      </c>
    </row>
    <row r="12" spans="1:9" x14ac:dyDescent="0.25">
      <c r="B12">
        <v>10</v>
      </c>
      <c r="C12" s="4">
        <f t="shared" ref="C12:C29" si="0">B12*PI()/180</f>
        <v>0.17453292519943295</v>
      </c>
      <c r="E12" s="3">
        <f t="shared" ref="E12:E29" si="1">64*PI()^4*$D$2^6/(8*$D$8^2*$H$5^4)*$E$7*(1+COS(C12)^2)</f>
        <v>4.169126157747792E-2</v>
      </c>
      <c r="F12" s="3">
        <f t="shared" ref="F12:F29" si="2">64*PI()^4*$D$4^6/(8*$D$8^2*$H$5^4)*$E$7*(1+COS(C12)^2)</f>
        <v>41691.261577477875</v>
      </c>
      <c r="G12" s="3">
        <f t="shared" ref="G12:G29" si="3">F12/E12</f>
        <v>999999.99999999895</v>
      </c>
      <c r="H12" s="3">
        <f t="shared" ref="H12:H29" si="4">(E12*$B$3+F12*$E$3)/100</f>
        <v>4169.1636798832078</v>
      </c>
    </row>
    <row r="13" spans="1:9" x14ac:dyDescent="0.25">
      <c r="B13">
        <v>20</v>
      </c>
      <c r="C13" s="4">
        <f t="shared" si="0"/>
        <v>0.3490658503988659</v>
      </c>
      <c r="E13" s="3">
        <f t="shared" si="1"/>
        <v>3.9853653343940108E-2</v>
      </c>
      <c r="F13" s="3">
        <f t="shared" si="2"/>
        <v>39853.653343940066</v>
      </c>
      <c r="G13" s="3">
        <f t="shared" si="3"/>
        <v>999999.99999999895</v>
      </c>
      <c r="H13" s="3">
        <f t="shared" si="4"/>
        <v>3985.4012026820164</v>
      </c>
    </row>
    <row r="14" spans="1:9" x14ac:dyDescent="0.25">
      <c r="B14">
        <v>30</v>
      </c>
      <c r="C14" s="4">
        <f t="shared" si="0"/>
        <v>0.52359877559829882</v>
      </c>
      <c r="E14" s="3">
        <f t="shared" si="1"/>
        <v>3.7038274192077461E-2</v>
      </c>
      <c r="F14" s="3">
        <f t="shared" si="2"/>
        <v>37038.274192077428</v>
      </c>
      <c r="G14" s="3">
        <f t="shared" si="3"/>
        <v>999999.99999999907</v>
      </c>
      <c r="H14" s="3">
        <f t="shared" si="4"/>
        <v>3703.8607536545155</v>
      </c>
    </row>
    <row r="15" spans="1:9" x14ac:dyDescent="0.25">
      <c r="B15">
        <v>40</v>
      </c>
      <c r="C15" s="4">
        <f t="shared" si="0"/>
        <v>0.69813170079773179</v>
      </c>
      <c r="E15" s="3">
        <f t="shared" si="1"/>
        <v>3.3584700398175633E-2</v>
      </c>
      <c r="F15" s="3">
        <f t="shared" si="2"/>
        <v>33584.700398175606</v>
      </c>
      <c r="G15" s="3">
        <f t="shared" si="3"/>
        <v>999999.99999999919</v>
      </c>
      <c r="H15" s="3">
        <f t="shared" si="4"/>
        <v>3358.5002660479186</v>
      </c>
    </row>
    <row r="16" spans="1:9" x14ac:dyDescent="0.25">
      <c r="B16">
        <v>50</v>
      </c>
      <c r="C16" s="4">
        <f t="shared" si="0"/>
        <v>0.87266462599716477</v>
      </c>
      <c r="E16" s="3">
        <f t="shared" si="1"/>
        <v>2.9909483931100014E-2</v>
      </c>
      <c r="F16" s="3">
        <f t="shared" si="2"/>
        <v>29909.483931099985</v>
      </c>
      <c r="G16" s="3">
        <f t="shared" si="3"/>
        <v>999999.99999999907</v>
      </c>
      <c r="H16" s="3">
        <f t="shared" si="4"/>
        <v>2990.9753116455367</v>
      </c>
    </row>
    <row r="17" spans="2:8" x14ac:dyDescent="0.25">
      <c r="B17">
        <v>60</v>
      </c>
      <c r="C17" s="4">
        <f t="shared" si="0"/>
        <v>1.0471975511965976</v>
      </c>
      <c r="E17" s="3">
        <f t="shared" si="1"/>
        <v>2.6455910137198189E-2</v>
      </c>
      <c r="F17" s="3">
        <f t="shared" si="2"/>
        <v>26455.91013719816</v>
      </c>
      <c r="G17" s="3">
        <f t="shared" si="3"/>
        <v>999999.99999999884</v>
      </c>
      <c r="H17" s="3">
        <f t="shared" si="4"/>
        <v>2645.6148240389393</v>
      </c>
    </row>
    <row r="18" spans="2:8" x14ac:dyDescent="0.25">
      <c r="B18">
        <v>70</v>
      </c>
      <c r="C18" s="4">
        <f t="shared" si="0"/>
        <v>1.2217304763960306</v>
      </c>
      <c r="E18" s="3">
        <f t="shared" si="1"/>
        <v>2.3640530985335542E-2</v>
      </c>
      <c r="F18" s="3">
        <f t="shared" si="2"/>
        <v>23640.530985335517</v>
      </c>
      <c r="G18" s="3">
        <f t="shared" si="3"/>
        <v>999999.99999999895</v>
      </c>
      <c r="H18" s="3">
        <f t="shared" si="4"/>
        <v>2364.0743750114384</v>
      </c>
    </row>
    <row r="19" spans="2:8" x14ac:dyDescent="0.25">
      <c r="B19">
        <v>80</v>
      </c>
      <c r="C19" s="4">
        <f t="shared" si="0"/>
        <v>1.3962634015954636</v>
      </c>
      <c r="E19" s="3">
        <f t="shared" si="1"/>
        <v>2.1802922751797727E-2</v>
      </c>
      <c r="F19" s="3">
        <f t="shared" si="2"/>
        <v>21802.922751797705</v>
      </c>
      <c r="G19" s="3">
        <f t="shared" si="3"/>
        <v>999999.99999999895</v>
      </c>
      <c r="H19" s="3">
        <f t="shared" si="4"/>
        <v>2180.3118978102475</v>
      </c>
    </row>
    <row r="20" spans="2:8" x14ac:dyDescent="0.25">
      <c r="B20">
        <v>90</v>
      </c>
      <c r="C20" s="4">
        <f t="shared" si="0"/>
        <v>1.5707963267948966</v>
      </c>
      <c r="E20" s="3">
        <f t="shared" si="1"/>
        <v>2.116472810975855E-2</v>
      </c>
      <c r="F20" s="3">
        <f t="shared" si="2"/>
        <v>21164.728109758529</v>
      </c>
      <c r="G20" s="3">
        <f t="shared" si="3"/>
        <v>999999.99999999895</v>
      </c>
      <c r="H20" s="3">
        <f t="shared" si="4"/>
        <v>2116.4918592311515</v>
      </c>
    </row>
    <row r="21" spans="2:8" x14ac:dyDescent="0.25">
      <c r="B21">
        <v>100</v>
      </c>
      <c r="C21" s="4">
        <f t="shared" si="0"/>
        <v>1.7453292519943295</v>
      </c>
      <c r="E21" s="3">
        <f t="shared" si="1"/>
        <v>2.1802922751797727E-2</v>
      </c>
      <c r="F21" s="3">
        <f t="shared" si="2"/>
        <v>21802.922751797705</v>
      </c>
      <c r="G21" s="3">
        <f t="shared" si="3"/>
        <v>999999.99999999895</v>
      </c>
      <c r="H21" s="3">
        <f t="shared" si="4"/>
        <v>2180.3118978102475</v>
      </c>
    </row>
    <row r="22" spans="2:8" x14ac:dyDescent="0.25">
      <c r="B22">
        <v>110</v>
      </c>
      <c r="C22" s="4">
        <f t="shared" si="0"/>
        <v>1.9198621771937625</v>
      </c>
      <c r="E22" s="3">
        <f t="shared" si="1"/>
        <v>2.3640530985335542E-2</v>
      </c>
      <c r="F22" s="3">
        <f t="shared" si="2"/>
        <v>23640.530985335517</v>
      </c>
      <c r="G22" s="3">
        <f t="shared" si="3"/>
        <v>999999.99999999895</v>
      </c>
      <c r="H22" s="3">
        <f t="shared" si="4"/>
        <v>2364.0743750114384</v>
      </c>
    </row>
    <row r="23" spans="2:8" x14ac:dyDescent="0.25">
      <c r="B23">
        <v>120</v>
      </c>
      <c r="C23" s="4">
        <f t="shared" si="0"/>
        <v>2.0943951023931953</v>
      </c>
      <c r="E23" s="3">
        <f t="shared" si="1"/>
        <v>2.6455910137198183E-2</v>
      </c>
      <c r="F23" s="3">
        <f t="shared" si="2"/>
        <v>26455.910137198156</v>
      </c>
      <c r="G23" s="3">
        <f t="shared" si="3"/>
        <v>999999.99999999895</v>
      </c>
      <c r="H23" s="3">
        <f t="shared" si="4"/>
        <v>2645.6148240389389</v>
      </c>
    </row>
    <row r="24" spans="2:8" x14ac:dyDescent="0.25">
      <c r="B24">
        <v>130</v>
      </c>
      <c r="C24" s="4">
        <f t="shared" si="0"/>
        <v>2.2689280275926285</v>
      </c>
      <c r="E24" s="3">
        <f t="shared" si="1"/>
        <v>2.9909483931100014E-2</v>
      </c>
      <c r="F24" s="3">
        <f t="shared" si="2"/>
        <v>29909.483931099985</v>
      </c>
      <c r="G24" s="3">
        <f t="shared" si="3"/>
        <v>999999.99999999907</v>
      </c>
      <c r="H24" s="3">
        <f t="shared" si="4"/>
        <v>2990.9753116455367</v>
      </c>
    </row>
    <row r="25" spans="2:8" x14ac:dyDescent="0.25">
      <c r="B25">
        <v>140</v>
      </c>
      <c r="C25" s="4">
        <f t="shared" si="0"/>
        <v>2.4434609527920612</v>
      </c>
      <c r="E25" s="3">
        <f t="shared" si="1"/>
        <v>3.3584700398175633E-2</v>
      </c>
      <c r="F25" s="3">
        <f t="shared" si="2"/>
        <v>33584.700398175606</v>
      </c>
      <c r="G25" s="3">
        <f t="shared" si="3"/>
        <v>999999.99999999919</v>
      </c>
      <c r="H25" s="3">
        <f t="shared" si="4"/>
        <v>3358.5002660479186</v>
      </c>
    </row>
    <row r="26" spans="2:8" x14ac:dyDescent="0.25">
      <c r="B26">
        <v>150</v>
      </c>
      <c r="C26" s="4">
        <f t="shared" si="0"/>
        <v>2.6179938779914944</v>
      </c>
      <c r="E26" s="3">
        <f t="shared" si="1"/>
        <v>3.7038274192077461E-2</v>
      </c>
      <c r="F26" s="3">
        <f t="shared" si="2"/>
        <v>37038.274192077428</v>
      </c>
      <c r="G26" s="3">
        <f t="shared" si="3"/>
        <v>999999.99999999907</v>
      </c>
      <c r="H26" s="3">
        <f t="shared" si="4"/>
        <v>3703.8607536545155</v>
      </c>
    </row>
    <row r="27" spans="2:8" x14ac:dyDescent="0.25">
      <c r="B27">
        <v>160</v>
      </c>
      <c r="C27" s="4">
        <f>B27*PI()/180</f>
        <v>2.7925268031909272</v>
      </c>
      <c r="E27" s="3">
        <f t="shared" si="1"/>
        <v>3.9853653343940108E-2</v>
      </c>
      <c r="F27" s="3">
        <f t="shared" si="2"/>
        <v>39853.653343940066</v>
      </c>
      <c r="G27" s="3">
        <f t="shared" si="3"/>
        <v>999999.99999999895</v>
      </c>
      <c r="H27" s="3">
        <f t="shared" si="4"/>
        <v>3985.4012026820164</v>
      </c>
    </row>
    <row r="28" spans="2:8" x14ac:dyDescent="0.25">
      <c r="B28">
        <v>170</v>
      </c>
      <c r="C28" s="4">
        <f t="shared" si="0"/>
        <v>2.9670597283903604</v>
      </c>
      <c r="E28" s="3">
        <f t="shared" si="1"/>
        <v>4.169126157747792E-2</v>
      </c>
      <c r="F28" s="3">
        <f t="shared" si="2"/>
        <v>41691.261577477875</v>
      </c>
      <c r="G28" s="3">
        <f t="shared" si="3"/>
        <v>999999.99999999895</v>
      </c>
      <c r="H28" s="3">
        <f t="shared" si="4"/>
        <v>4169.1636798832078</v>
      </c>
    </row>
    <row r="29" spans="2:8" x14ac:dyDescent="0.25">
      <c r="B29">
        <v>180</v>
      </c>
      <c r="C29" s="4">
        <f t="shared" si="0"/>
        <v>3.1415926535897931</v>
      </c>
      <c r="E29" s="3">
        <f t="shared" si="1"/>
        <v>4.23294562195171E-2</v>
      </c>
      <c r="F29" s="3">
        <f t="shared" si="2"/>
        <v>42329.456219517058</v>
      </c>
      <c r="G29" s="3">
        <f t="shared" si="3"/>
        <v>999999.99999999895</v>
      </c>
      <c r="H29" s="3">
        <f t="shared" si="4"/>
        <v>4232.9837184623029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1" sqref="C1"/>
    </sheetView>
  </sheetViews>
  <sheetFormatPr defaultRowHeight="15" x14ac:dyDescent="0.25"/>
  <cols>
    <col min="1" max="1" width="12.140625" bestFit="1" customWidth="1"/>
  </cols>
  <sheetData>
    <row r="1" spans="1:10" x14ac:dyDescent="0.25">
      <c r="C1" s="14" t="s">
        <v>723</v>
      </c>
    </row>
    <row r="3" spans="1:10" x14ac:dyDescent="0.25">
      <c r="A3" t="s">
        <v>82</v>
      </c>
      <c r="B3" s="2">
        <v>20</v>
      </c>
      <c r="C3" t="s">
        <v>1</v>
      </c>
      <c r="D3" s="3">
        <f>B3/1000000000</f>
        <v>2E-8</v>
      </c>
      <c r="E3" t="s">
        <v>3</v>
      </c>
    </row>
    <row r="4" spans="1:10" x14ac:dyDescent="0.25">
      <c r="A4" t="s">
        <v>83</v>
      </c>
      <c r="B4" s="2">
        <v>1000</v>
      </c>
      <c r="C4" t="s">
        <v>1</v>
      </c>
      <c r="D4" s="3">
        <f>B4/1000000000</f>
        <v>9.9999999999999995E-7</v>
      </c>
      <c r="E4" t="s">
        <v>3</v>
      </c>
    </row>
    <row r="5" spans="1:10" x14ac:dyDescent="0.25">
      <c r="A5" t="s">
        <v>64</v>
      </c>
      <c r="B5" s="2">
        <v>500</v>
      </c>
      <c r="C5" t="s">
        <v>1</v>
      </c>
      <c r="D5" s="3">
        <f>B5/1000000000</f>
        <v>4.9999999999999998E-7</v>
      </c>
      <c r="E5" t="s">
        <v>3</v>
      </c>
      <c r="J5" s="7"/>
    </row>
    <row r="6" spans="1:10" x14ac:dyDescent="0.25">
      <c r="A6" t="s">
        <v>68</v>
      </c>
      <c r="B6" s="2">
        <v>2</v>
      </c>
    </row>
    <row r="7" spans="1:10" x14ac:dyDescent="0.25">
      <c r="A7" t="s">
        <v>69</v>
      </c>
      <c r="B7" s="2">
        <v>1</v>
      </c>
      <c r="D7" t="s">
        <v>70</v>
      </c>
      <c r="E7">
        <f>B6/B7-1</f>
        <v>1</v>
      </c>
      <c r="J7" s="8"/>
    </row>
    <row r="9" spans="1:10" x14ac:dyDescent="0.25">
      <c r="B9" t="s">
        <v>85</v>
      </c>
      <c r="D9" t="s">
        <v>84</v>
      </c>
      <c r="E9" t="s">
        <v>80</v>
      </c>
      <c r="F9" t="s">
        <v>81</v>
      </c>
    </row>
    <row r="10" spans="1:10" x14ac:dyDescent="0.25">
      <c r="A10">
        <v>0</v>
      </c>
      <c r="B10">
        <f>$B$3+A10*($B$4-$B$3)/20</f>
        <v>20</v>
      </c>
      <c r="D10" s="3">
        <f t="shared" ref="D10:D29" si="0">B10/1000000000</f>
        <v>2E-8</v>
      </c>
      <c r="E10" s="3">
        <f>2*PI()*D10*$E$7/$D$5</f>
        <v>0.25132741228718347</v>
      </c>
      <c r="F10" s="4">
        <f t="shared" ref="F10:F30" si="1">2-4/E10*SIN(E10)+4/E10^2*(1-COS(E10))</f>
        <v>3.1472079042082601E-2</v>
      </c>
    </row>
    <row r="11" spans="1:10" x14ac:dyDescent="0.25">
      <c r="A11">
        <v>1</v>
      </c>
      <c r="B11">
        <f t="shared" ref="B11:B18" si="2">$B$3+A11*($B$4-$B$3)/20</f>
        <v>69</v>
      </c>
      <c r="D11" s="3">
        <f t="shared" si="0"/>
        <v>6.8999999999999996E-8</v>
      </c>
      <c r="E11" s="3">
        <f t="shared" ref="E11:E30" si="3">2*PI()*D11*$E$7/$D$5</f>
        <v>0.86707957239078282</v>
      </c>
      <c r="F11" s="4">
        <f t="shared" si="1"/>
        <v>0.36050424261767899</v>
      </c>
    </row>
    <row r="12" spans="1:10" x14ac:dyDescent="0.25">
      <c r="A12">
        <v>2</v>
      </c>
      <c r="B12">
        <f t="shared" si="2"/>
        <v>118</v>
      </c>
      <c r="D12" s="3">
        <f t="shared" si="0"/>
        <v>1.18E-7</v>
      </c>
      <c r="E12" s="3">
        <f t="shared" si="3"/>
        <v>1.4828317324943825</v>
      </c>
      <c r="F12" s="4">
        <f t="shared" si="1"/>
        <v>0.97225340184790321</v>
      </c>
    </row>
    <row r="13" spans="1:10" x14ac:dyDescent="0.25">
      <c r="A13">
        <v>3</v>
      </c>
      <c r="B13">
        <f t="shared" si="2"/>
        <v>167</v>
      </c>
      <c r="D13" s="3">
        <f t="shared" si="0"/>
        <v>1.67E-7</v>
      </c>
      <c r="E13" s="3">
        <f t="shared" si="3"/>
        <v>2.0985838925979818</v>
      </c>
      <c r="F13" s="4">
        <f t="shared" si="1"/>
        <v>1.718992963087991</v>
      </c>
    </row>
    <row r="14" spans="1:10" x14ac:dyDescent="0.25">
      <c r="A14">
        <v>4</v>
      </c>
      <c r="B14">
        <f t="shared" si="2"/>
        <v>216</v>
      </c>
      <c r="D14" s="3">
        <f t="shared" si="0"/>
        <v>2.16E-7</v>
      </c>
      <c r="E14" s="3">
        <f t="shared" si="3"/>
        <v>2.7143360527015812</v>
      </c>
      <c r="F14" s="4">
        <f t="shared" si="1"/>
        <v>2.4263799543250419</v>
      </c>
    </row>
    <row r="15" spans="1:10" x14ac:dyDescent="0.25">
      <c r="A15">
        <v>5</v>
      </c>
      <c r="B15">
        <f t="shared" si="2"/>
        <v>265</v>
      </c>
      <c r="D15" s="3">
        <f t="shared" si="0"/>
        <v>2.65E-7</v>
      </c>
      <c r="E15" s="3">
        <f t="shared" si="3"/>
        <v>3.330088212805181</v>
      </c>
      <c r="F15" s="4">
        <f t="shared" si="1"/>
        <v>2.9400916161510233</v>
      </c>
    </row>
    <row r="16" spans="1:10" x14ac:dyDescent="0.25">
      <c r="A16">
        <v>6</v>
      </c>
      <c r="B16">
        <f t="shared" si="2"/>
        <v>314</v>
      </c>
      <c r="D16" s="3">
        <f t="shared" si="0"/>
        <v>3.1399999999999998E-7</v>
      </c>
      <c r="E16" s="3">
        <f t="shared" si="3"/>
        <v>3.9458403729087799</v>
      </c>
      <c r="F16" s="4">
        <f t="shared" si="1"/>
        <v>3.1653122367758848</v>
      </c>
    </row>
    <row r="17" spans="1:6" x14ac:dyDescent="0.25">
      <c r="A17">
        <v>7</v>
      </c>
      <c r="B17">
        <f t="shared" si="2"/>
        <v>363</v>
      </c>
      <c r="D17" s="3">
        <f t="shared" si="0"/>
        <v>3.6300000000000001E-7</v>
      </c>
      <c r="E17" s="3">
        <f t="shared" si="3"/>
        <v>4.5615925330123801</v>
      </c>
      <c r="F17" s="4">
        <f t="shared" si="1"/>
        <v>3.0880464462266484</v>
      </c>
    </row>
    <row r="18" spans="1:6" x14ac:dyDescent="0.25">
      <c r="A18">
        <v>8</v>
      </c>
      <c r="B18">
        <f t="shared" si="2"/>
        <v>412</v>
      </c>
      <c r="D18" s="3">
        <f t="shared" si="0"/>
        <v>4.1199999999999998E-7</v>
      </c>
      <c r="E18" s="3">
        <f t="shared" si="3"/>
        <v>5.1773446931159794</v>
      </c>
      <c r="F18" s="4">
        <f t="shared" si="1"/>
        <v>2.7728948528650093</v>
      </c>
    </row>
    <row r="19" spans="1:6" x14ac:dyDescent="0.25">
      <c r="A19">
        <v>9</v>
      </c>
      <c r="B19">
        <f t="shared" ref="B19:B30" si="4">$B$3+A19*($B$4-$B$3)/20</f>
        <v>461</v>
      </c>
      <c r="D19" s="3">
        <f t="shared" si="0"/>
        <v>4.6100000000000001E-7</v>
      </c>
      <c r="E19" s="3">
        <f t="shared" si="3"/>
        <v>5.7930968532195788</v>
      </c>
      <c r="F19" s="4">
        <f t="shared" si="1"/>
        <v>2.3390398911858163</v>
      </c>
    </row>
    <row r="20" spans="1:6" x14ac:dyDescent="0.25">
      <c r="A20">
        <v>10</v>
      </c>
      <c r="B20">
        <f t="shared" si="4"/>
        <v>510</v>
      </c>
      <c r="D20" s="3">
        <f t="shared" si="0"/>
        <v>5.0999999999999999E-7</v>
      </c>
      <c r="E20" s="3">
        <f t="shared" si="3"/>
        <v>6.4088490133231781</v>
      </c>
      <c r="F20" s="4">
        <f t="shared" si="1"/>
        <v>1.9225428113052232</v>
      </c>
    </row>
    <row r="21" spans="1:6" x14ac:dyDescent="0.25">
      <c r="A21">
        <v>11</v>
      </c>
      <c r="B21">
        <f t="shared" si="4"/>
        <v>559</v>
      </c>
      <c r="D21" s="3">
        <f t="shared" si="0"/>
        <v>5.5899999999999996E-7</v>
      </c>
      <c r="E21" s="3">
        <f t="shared" si="3"/>
        <v>7.0246011734267775</v>
      </c>
      <c r="F21" s="4">
        <f t="shared" si="1"/>
        <v>1.6367247106778045</v>
      </c>
    </row>
    <row r="22" spans="1:6" x14ac:dyDescent="0.25">
      <c r="A22">
        <v>12</v>
      </c>
      <c r="B22">
        <f t="shared" si="4"/>
        <v>608</v>
      </c>
      <c r="D22" s="3">
        <f t="shared" si="0"/>
        <v>6.0800000000000004E-7</v>
      </c>
      <c r="E22" s="3">
        <f t="shared" si="3"/>
        <v>7.6403533335303777</v>
      </c>
      <c r="F22" s="4">
        <f t="shared" si="1"/>
        <v>1.5423601896024921</v>
      </c>
    </row>
    <row r="23" spans="1:6" x14ac:dyDescent="0.25">
      <c r="A23">
        <v>13</v>
      </c>
      <c r="B23">
        <f t="shared" si="4"/>
        <v>657</v>
      </c>
      <c r="D23" s="3">
        <f t="shared" si="0"/>
        <v>6.5700000000000002E-7</v>
      </c>
      <c r="E23" s="3">
        <f t="shared" si="3"/>
        <v>8.2561054936339779</v>
      </c>
      <c r="F23" s="4">
        <f t="shared" si="1"/>
        <v>1.6358063911939402</v>
      </c>
    </row>
    <row r="24" spans="1:6" x14ac:dyDescent="0.25">
      <c r="A24">
        <v>14</v>
      </c>
      <c r="B24">
        <f t="shared" si="4"/>
        <v>706</v>
      </c>
      <c r="D24" s="3">
        <f t="shared" si="0"/>
        <v>7.06E-7</v>
      </c>
      <c r="E24" s="3">
        <f t="shared" si="3"/>
        <v>8.8718576537375764</v>
      </c>
      <c r="F24" s="4">
        <f t="shared" si="1"/>
        <v>1.8572844549949539</v>
      </c>
    </row>
    <row r="25" spans="1:6" x14ac:dyDescent="0.25">
      <c r="A25">
        <v>15</v>
      </c>
      <c r="B25">
        <f t="shared" si="4"/>
        <v>755</v>
      </c>
      <c r="D25" s="3">
        <f t="shared" si="0"/>
        <v>7.5499999999999997E-7</v>
      </c>
      <c r="E25" s="3">
        <f t="shared" si="3"/>
        <v>9.4876098138411749</v>
      </c>
      <c r="F25" s="4">
        <f t="shared" si="1"/>
        <v>2.1152592865708808</v>
      </c>
    </row>
    <row r="26" spans="1:6" x14ac:dyDescent="0.25">
      <c r="A26">
        <v>16</v>
      </c>
      <c r="B26">
        <f t="shared" si="4"/>
        <v>804</v>
      </c>
      <c r="D26" s="3">
        <f t="shared" si="0"/>
        <v>8.0400000000000005E-7</v>
      </c>
      <c r="E26" s="3">
        <f t="shared" si="3"/>
        <v>10.103361973944775</v>
      </c>
      <c r="F26" s="4">
        <f t="shared" si="1"/>
        <v>2.3181982971405239</v>
      </c>
    </row>
    <row r="27" spans="1:6" x14ac:dyDescent="0.25">
      <c r="A27">
        <v>17</v>
      </c>
      <c r="B27">
        <f t="shared" si="4"/>
        <v>853</v>
      </c>
      <c r="D27" s="3">
        <f t="shared" si="0"/>
        <v>8.5300000000000003E-7</v>
      </c>
      <c r="E27" s="3">
        <f t="shared" si="3"/>
        <v>10.719114134048375</v>
      </c>
      <c r="F27" s="4">
        <f t="shared" si="1"/>
        <v>2.4033105676449034</v>
      </c>
    </row>
    <row r="28" spans="1:6" x14ac:dyDescent="0.25">
      <c r="A28">
        <v>18</v>
      </c>
      <c r="B28">
        <f t="shared" si="4"/>
        <v>902</v>
      </c>
      <c r="D28" s="3">
        <f t="shared" si="0"/>
        <v>9.02E-7</v>
      </c>
      <c r="E28" s="3">
        <f t="shared" si="3"/>
        <v>11.334866294151974</v>
      </c>
      <c r="F28" s="4">
        <f t="shared" si="1"/>
        <v>2.3535468039986291</v>
      </c>
    </row>
    <row r="29" spans="1:6" x14ac:dyDescent="0.25">
      <c r="A29">
        <v>19</v>
      </c>
      <c r="B29">
        <f t="shared" si="4"/>
        <v>951</v>
      </c>
      <c r="D29" s="3">
        <f t="shared" si="0"/>
        <v>9.5099999999999998E-7</v>
      </c>
      <c r="E29" s="3">
        <f t="shared" si="3"/>
        <v>11.950618454255574</v>
      </c>
      <c r="F29" s="4">
        <f t="shared" si="1"/>
        <v>2.1984637065225803</v>
      </c>
    </row>
    <row r="30" spans="1:6" x14ac:dyDescent="0.25">
      <c r="A30">
        <v>20</v>
      </c>
      <c r="B30">
        <f t="shared" si="4"/>
        <v>1000</v>
      </c>
      <c r="D30" s="3">
        <f t="shared" ref="D30" si="5">B30/1000000000</f>
        <v>9.9999999999999995E-7</v>
      </c>
      <c r="E30" s="3">
        <f t="shared" si="3"/>
        <v>12.566370614359172</v>
      </c>
      <c r="F30" s="4">
        <f t="shared" si="1"/>
        <v>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workbookViewId="0">
      <selection activeCell="B5" sqref="B5"/>
    </sheetView>
  </sheetViews>
  <sheetFormatPr defaultRowHeight="15" x14ac:dyDescent="0.25"/>
  <cols>
    <col min="1" max="1" width="16" customWidth="1"/>
    <col min="4" max="4" width="12" bestFit="1" customWidth="1"/>
    <col min="6" max="6" width="12" bestFit="1" customWidth="1"/>
    <col min="9" max="9" width="12" bestFit="1" customWidth="1"/>
    <col min="12" max="12" width="10" customWidth="1"/>
    <col min="13" max="13" width="12" bestFit="1" customWidth="1"/>
    <col min="17" max="17" width="9.140625" customWidth="1"/>
  </cols>
  <sheetData>
    <row r="1" spans="1:20" x14ac:dyDescent="0.25">
      <c r="C1" s="14" t="s">
        <v>264</v>
      </c>
      <c r="L1" s="42" t="s">
        <v>577</v>
      </c>
    </row>
    <row r="2" spans="1:20" x14ac:dyDescent="0.25">
      <c r="L2" t="s">
        <v>578</v>
      </c>
      <c r="N2" s="3">
        <v>1.3806503000000001E-23</v>
      </c>
      <c r="O2" s="7" t="s">
        <v>579</v>
      </c>
    </row>
    <row r="3" spans="1:20" ht="18" x14ac:dyDescent="0.25">
      <c r="C3" s="10" t="s">
        <v>262</v>
      </c>
      <c r="D3">
        <v>9.81</v>
      </c>
      <c r="E3" t="s">
        <v>261</v>
      </c>
      <c r="L3" t="s">
        <v>580</v>
      </c>
      <c r="M3" s="2">
        <v>25</v>
      </c>
      <c r="N3">
        <f>273+M3</f>
        <v>298</v>
      </c>
      <c r="O3" t="s">
        <v>581</v>
      </c>
      <c r="P3" t="s">
        <v>587</v>
      </c>
      <c r="Q3" s="3">
        <f>N2*N3/(N4*D9*D7*PI())</f>
        <v>6.4197766017686139E-12</v>
      </c>
      <c r="R3" t="s">
        <v>582</v>
      </c>
      <c r="S3" s="3">
        <f>Q3*10000</f>
        <v>6.4197766017686142E-8</v>
      </c>
      <c r="T3" t="s">
        <v>583</v>
      </c>
    </row>
    <row r="4" spans="1:20" ht="18" x14ac:dyDescent="0.25">
      <c r="A4" t="s">
        <v>135</v>
      </c>
      <c r="B4" s="2">
        <v>10</v>
      </c>
      <c r="C4" t="s">
        <v>248</v>
      </c>
      <c r="D4">
        <f>B4/1000</f>
        <v>0.01</v>
      </c>
      <c r="E4" t="s">
        <v>3</v>
      </c>
      <c r="L4" t="s">
        <v>584</v>
      </c>
      <c r="N4">
        <v>6</v>
      </c>
      <c r="P4" t="s">
        <v>588</v>
      </c>
      <c r="Q4" s="3">
        <f>N2*N3/(N4*D9*D8*PI())</f>
        <v>2.1827240446013283E-13</v>
      </c>
      <c r="R4" t="s">
        <v>582</v>
      </c>
      <c r="S4" s="3">
        <f>Q4*10000</f>
        <v>2.1827240446013281E-9</v>
      </c>
      <c r="T4" t="s">
        <v>583</v>
      </c>
    </row>
    <row r="5" spans="1:20" x14ac:dyDescent="0.25">
      <c r="A5" t="s">
        <v>249</v>
      </c>
      <c r="B5" s="2">
        <v>2</v>
      </c>
      <c r="C5" t="s">
        <v>25</v>
      </c>
      <c r="D5">
        <f>B5*1000</f>
        <v>2000</v>
      </c>
      <c r="E5" t="s">
        <v>26</v>
      </c>
      <c r="N5" s="3"/>
    </row>
    <row r="6" spans="1:20" x14ac:dyDescent="0.25">
      <c r="A6" t="s">
        <v>250</v>
      </c>
      <c r="B6" s="2">
        <v>1</v>
      </c>
      <c r="C6" t="s">
        <v>25</v>
      </c>
      <c r="D6">
        <f>B6*1000</f>
        <v>1000</v>
      </c>
      <c r="E6" t="s">
        <v>26</v>
      </c>
    </row>
    <row r="7" spans="1:20" x14ac:dyDescent="0.25">
      <c r="A7" t="s">
        <v>251</v>
      </c>
      <c r="B7" s="2">
        <v>34</v>
      </c>
      <c r="C7" t="s">
        <v>1</v>
      </c>
      <c r="D7">
        <f>B7/1000000000</f>
        <v>3.4E-8</v>
      </c>
      <c r="E7" t="s">
        <v>3</v>
      </c>
    </row>
    <row r="8" spans="1:20" x14ac:dyDescent="0.25">
      <c r="A8" t="s">
        <v>252</v>
      </c>
      <c r="B8" s="2">
        <v>1000</v>
      </c>
      <c r="C8" t="s">
        <v>1</v>
      </c>
      <c r="D8">
        <f>B8/1000000000</f>
        <v>9.9999999999999995E-7</v>
      </c>
      <c r="E8" t="s">
        <v>3</v>
      </c>
      <c r="F8" t="s">
        <v>265</v>
      </c>
    </row>
    <row r="9" spans="1:20" x14ac:dyDescent="0.25">
      <c r="A9" t="s">
        <v>253</v>
      </c>
      <c r="B9" s="2">
        <v>1</v>
      </c>
      <c r="C9" t="s">
        <v>254</v>
      </c>
      <c r="D9">
        <f>B9/1000</f>
        <v>1E-3</v>
      </c>
      <c r="E9" t="s">
        <v>255</v>
      </c>
      <c r="L9" t="s">
        <v>585</v>
      </c>
      <c r="O9" s="4">
        <f>Q9*1000</f>
        <v>5.047226491959421</v>
      </c>
      <c r="P9" t="s">
        <v>248</v>
      </c>
      <c r="Q9">
        <f>SQRT(Q3*D18)</f>
        <v>5.0472264919594213E-3</v>
      </c>
      <c r="R9" t="s">
        <v>3</v>
      </c>
    </row>
    <row r="10" spans="1:20" x14ac:dyDescent="0.25">
      <c r="L10" t="s">
        <v>586</v>
      </c>
      <c r="O10" s="4">
        <f>Q10*1000</f>
        <v>3.1642527739479481E-2</v>
      </c>
      <c r="P10" t="s">
        <v>248</v>
      </c>
      <c r="Q10">
        <f>SQRT(Q4*D19)</f>
        <v>3.1642527739479483E-5</v>
      </c>
      <c r="R10" t="s">
        <v>3</v>
      </c>
    </row>
    <row r="11" spans="1:20" x14ac:dyDescent="0.25">
      <c r="A11" t="s">
        <v>268</v>
      </c>
      <c r="B11" s="2">
        <v>0</v>
      </c>
      <c r="E11" t="s">
        <v>269</v>
      </c>
    </row>
    <row r="12" spans="1:20" x14ac:dyDescent="0.25">
      <c r="A12" t="s">
        <v>0</v>
      </c>
      <c r="B12" s="2">
        <v>100</v>
      </c>
      <c r="C12" t="s">
        <v>248</v>
      </c>
      <c r="E12">
        <f>0.000001118*B12*B11^2</f>
        <v>0</v>
      </c>
      <c r="L12" t="s">
        <v>589</v>
      </c>
      <c r="O12" s="9">
        <f>O9/B4</f>
        <v>0.50472264919594212</v>
      </c>
    </row>
    <row r="13" spans="1:20" x14ac:dyDescent="0.25">
      <c r="A13" t="s">
        <v>636</v>
      </c>
      <c r="B13" s="2">
        <v>0.01</v>
      </c>
      <c r="D13">
        <f>B13</f>
        <v>0.01</v>
      </c>
      <c r="L13" t="s">
        <v>590</v>
      </c>
      <c r="O13" s="9">
        <f>O10/B4</f>
        <v>3.164252773947948E-3</v>
      </c>
    </row>
    <row r="14" spans="1:20" x14ac:dyDescent="0.25">
      <c r="C14">
        <v>0.2</v>
      </c>
      <c r="F14" t="s">
        <v>637</v>
      </c>
    </row>
    <row r="15" spans="1:20" x14ac:dyDescent="0.25">
      <c r="A15" t="s">
        <v>256</v>
      </c>
      <c r="D15">
        <f>(2/9)*(D5-D6)/D9*D3*(1+E12)*D7^2</f>
        <v>2.5200800000000003E-9</v>
      </c>
      <c r="E15" t="s">
        <v>263</v>
      </c>
      <c r="F15">
        <f>D15*(1-$D$13)^5</f>
        <v>2.396571004951992E-9</v>
      </c>
      <c r="G15" s="6">
        <f>F15/D15</f>
        <v>0.95099004989999991</v>
      </c>
    </row>
    <row r="16" spans="1:20" x14ac:dyDescent="0.25">
      <c r="A16" t="s">
        <v>257</v>
      </c>
      <c r="D16">
        <f>(2/9)*(D5-D6)/D9*D3*(1+E12)*D8^2</f>
        <v>2.1799999999999999E-6</v>
      </c>
      <c r="E16" t="s">
        <v>263</v>
      </c>
      <c r="L16" s="14" t="s">
        <v>631</v>
      </c>
    </row>
    <row r="17" spans="1:13" x14ac:dyDescent="0.25">
      <c r="C17" t="s">
        <v>591</v>
      </c>
      <c r="D17" t="s">
        <v>94</v>
      </c>
      <c r="E17" t="s">
        <v>266</v>
      </c>
      <c r="F17" t="s">
        <v>592</v>
      </c>
      <c r="G17" t="s">
        <v>267</v>
      </c>
      <c r="L17" t="s">
        <v>629</v>
      </c>
      <c r="M17" s="3">
        <f>N2*N3</f>
        <v>4.1143378940000003E-21</v>
      </c>
    </row>
    <row r="18" spans="1:13" x14ac:dyDescent="0.25">
      <c r="A18" t="s">
        <v>258</v>
      </c>
      <c r="D18">
        <f>D4/D15</f>
        <v>3968127.9959366368</v>
      </c>
      <c r="E18" s="15">
        <f>D18/60</f>
        <v>66135.466598943953</v>
      </c>
      <c r="F18">
        <f>E18/60</f>
        <v>1102.2577766490658</v>
      </c>
      <c r="G18">
        <f>F18/24</f>
        <v>45.927407360377742</v>
      </c>
      <c r="L18" t="s">
        <v>521</v>
      </c>
      <c r="M18" s="3">
        <f>4/3*PI()*D7^3*(D5-D6)*D3*D4</f>
        <v>1.6150812221495476E-20</v>
      </c>
    </row>
    <row r="19" spans="1:13" x14ac:dyDescent="0.25">
      <c r="A19" t="s">
        <v>259</v>
      </c>
      <c r="D19">
        <f>D4/D16</f>
        <v>4587.1559633027528</v>
      </c>
      <c r="E19" s="15">
        <f>D19/60</f>
        <v>76.452599388379213</v>
      </c>
      <c r="F19">
        <f>E19/60</f>
        <v>1.2742099898063202</v>
      </c>
      <c r="G19">
        <f>F19/24</f>
        <v>5.3092082908596676E-2</v>
      </c>
      <c r="L19" t="s">
        <v>630</v>
      </c>
      <c r="M19" s="6">
        <f>M17/M18</f>
        <v>0.25474495261136998</v>
      </c>
    </row>
    <row r="20" spans="1:13" x14ac:dyDescent="0.25">
      <c r="M20" s="14" t="str">
        <f>IF(M17&gt;M18,"Brownian wins","Gravity wins")</f>
        <v>Gravity wins</v>
      </c>
    </row>
    <row r="21" spans="1:13" x14ac:dyDescent="0.25">
      <c r="A21" t="s">
        <v>260</v>
      </c>
      <c r="D21">
        <f>D18/D19</f>
        <v>865.05190311418676</v>
      </c>
    </row>
    <row r="22" spans="1:13" x14ac:dyDescent="0.25">
      <c r="L22" s="14" t="s">
        <v>632</v>
      </c>
    </row>
    <row r="23" spans="1:13" x14ac:dyDescent="0.25">
      <c r="L23" t="s">
        <v>55</v>
      </c>
      <c r="M23" t="s">
        <v>633</v>
      </c>
    </row>
    <row r="24" spans="1:13" x14ac:dyDescent="0.25">
      <c r="A24" s="14" t="s">
        <v>600</v>
      </c>
      <c r="L24">
        <v>5</v>
      </c>
      <c r="M24" s="4">
        <f>1000*3/4*$M$17/(($D$5-$D$6)*PI()*$D$3*(L24/1000000000)^3)</f>
        <v>800.99964939498284</v>
      </c>
    </row>
    <row r="25" spans="1:13" x14ac:dyDescent="0.25">
      <c r="A25" t="s">
        <v>593</v>
      </c>
      <c r="B25" s="2">
        <v>10</v>
      </c>
      <c r="C25" t="s">
        <v>1</v>
      </c>
      <c r="D25">
        <f>B25/1000000000</f>
        <v>1E-8</v>
      </c>
      <c r="E25" t="s">
        <v>3</v>
      </c>
      <c r="F25" t="s">
        <v>597</v>
      </c>
      <c r="G25" t="s">
        <v>596</v>
      </c>
      <c r="H25" t="s">
        <v>595</v>
      </c>
      <c r="I25" t="s">
        <v>598</v>
      </c>
      <c r="L25">
        <v>10</v>
      </c>
      <c r="M25" s="4">
        <f t="shared" ref="M25:M43" si="0">1000*3/4*$M$17/(($D$5-$D$6)*PI()*$D$3*(L25/1000000000)^3)</f>
        <v>100.12495617437285</v>
      </c>
    </row>
    <row r="26" spans="1:13" x14ac:dyDescent="0.25">
      <c r="A26" t="s">
        <v>43</v>
      </c>
      <c r="B26" s="2">
        <v>100</v>
      </c>
      <c r="C26" t="s">
        <v>1</v>
      </c>
      <c r="D26">
        <f>B26/1000000000</f>
        <v>9.9999999999999995E-8</v>
      </c>
      <c r="E26" t="s">
        <v>3</v>
      </c>
      <c r="F26">
        <f>4/3*PI()*D25^2*D26*(D5-D6)*D3</f>
        <v>4.1092031908954496E-19</v>
      </c>
      <c r="G26">
        <f>B26/B25</f>
        <v>10</v>
      </c>
      <c r="H26">
        <f>4/3*(G26^2-1)/((2*G26^2-1)/SQRT(G26^2-1)*LN(G26+SQRT(G26^2-1))-G26)</f>
        <v>2.6471360019415155</v>
      </c>
      <c r="I26">
        <f>6*PI()*D9*D25*H26</f>
        <v>4.9897338100515126E-10</v>
      </c>
      <c r="L26">
        <v>15</v>
      </c>
      <c r="M26" s="4">
        <f t="shared" si="0"/>
        <v>29.666653681295674</v>
      </c>
    </row>
    <row r="27" spans="1:13" x14ac:dyDescent="0.25">
      <c r="L27">
        <v>20</v>
      </c>
      <c r="M27" s="4">
        <f t="shared" si="0"/>
        <v>12.515619521796607</v>
      </c>
    </row>
    <row r="28" spans="1:13" x14ac:dyDescent="0.25">
      <c r="A28" t="s">
        <v>594</v>
      </c>
      <c r="D28">
        <f>F26/I26</f>
        <v>8.2353154443183156E-10</v>
      </c>
      <c r="E28" t="s">
        <v>263</v>
      </c>
      <c r="L28">
        <v>30</v>
      </c>
      <c r="M28" s="4">
        <f t="shared" si="0"/>
        <v>3.7083317101619593</v>
      </c>
    </row>
    <row r="29" spans="1:13" x14ac:dyDescent="0.25">
      <c r="A29" t="s">
        <v>599</v>
      </c>
      <c r="B29" s="5">
        <f>D29*1000000000</f>
        <v>19.436222974149068</v>
      </c>
      <c r="C29" t="s">
        <v>1</v>
      </c>
      <c r="D29">
        <f>SQRT(9/2*D28*D9/(D5-D6)/D3)</f>
        <v>1.9436222974149068E-8</v>
      </c>
      <c r="E29" t="s">
        <v>3</v>
      </c>
      <c r="F29" s="14" t="s">
        <v>634</v>
      </c>
      <c r="L29">
        <v>40</v>
      </c>
      <c r="M29" s="4">
        <f t="shared" si="0"/>
        <v>1.5644524402245759</v>
      </c>
    </row>
    <row r="30" spans="1:13" x14ac:dyDescent="0.25">
      <c r="A30" t="s">
        <v>599</v>
      </c>
      <c r="B30" s="5">
        <f>D30*1000000000</f>
        <v>21.582413053688622</v>
      </c>
      <c r="C30" t="s">
        <v>1</v>
      </c>
      <c r="D30">
        <f>(D25^2*D26)^0.3333</f>
        <v>2.1582413053688621E-8</v>
      </c>
      <c r="E30" t="s">
        <v>3</v>
      </c>
      <c r="F30" s="14" t="s">
        <v>635</v>
      </c>
      <c r="L30">
        <v>50</v>
      </c>
      <c r="M30" s="4">
        <f t="shared" si="0"/>
        <v>0.80099964939498314</v>
      </c>
    </row>
    <row r="31" spans="1:13" x14ac:dyDescent="0.25">
      <c r="L31">
        <v>60</v>
      </c>
      <c r="M31" s="4">
        <f t="shared" si="0"/>
        <v>0.46354146377024491</v>
      </c>
    </row>
    <row r="32" spans="1:13" x14ac:dyDescent="0.25">
      <c r="L32">
        <v>70</v>
      </c>
      <c r="M32" s="4">
        <f t="shared" si="0"/>
        <v>0.29190949321974591</v>
      </c>
    </row>
    <row r="33" spans="12:13" x14ac:dyDescent="0.25">
      <c r="L33">
        <v>80</v>
      </c>
      <c r="M33" s="4">
        <f t="shared" si="0"/>
        <v>0.19555655502807198</v>
      </c>
    </row>
    <row r="34" spans="12:13" x14ac:dyDescent="0.25">
      <c r="L34">
        <v>90</v>
      </c>
      <c r="M34" s="4">
        <f t="shared" si="0"/>
        <v>0.13734561889488733</v>
      </c>
    </row>
    <row r="35" spans="12:13" x14ac:dyDescent="0.25">
      <c r="L35">
        <v>100</v>
      </c>
      <c r="M35" s="4">
        <f t="shared" si="0"/>
        <v>0.10012495617437289</v>
      </c>
    </row>
    <row r="36" spans="12:13" x14ac:dyDescent="0.25">
      <c r="L36">
        <v>150</v>
      </c>
      <c r="M36" s="4">
        <f>1000*3/4*$M$17/(($D$5-$D$6)*PI()*$D$3*(L36/1000000000)^3)</f>
        <v>2.966665368129567E-2</v>
      </c>
    </row>
    <row r="37" spans="12:13" x14ac:dyDescent="0.25">
      <c r="L37">
        <v>200</v>
      </c>
      <c r="M37" s="4">
        <f t="shared" si="0"/>
        <v>1.2515619521796612E-2</v>
      </c>
    </row>
    <row r="38" spans="12:13" x14ac:dyDescent="0.25">
      <c r="L38">
        <v>250</v>
      </c>
      <c r="M38" s="4">
        <f t="shared" si="0"/>
        <v>6.4079971951598643E-3</v>
      </c>
    </row>
    <row r="39" spans="12:13" x14ac:dyDescent="0.25">
      <c r="L39">
        <v>300</v>
      </c>
      <c r="M39" s="4">
        <f t="shared" si="0"/>
        <v>3.7083317101619588E-3</v>
      </c>
    </row>
    <row r="40" spans="12:13" x14ac:dyDescent="0.25">
      <c r="L40">
        <v>350</v>
      </c>
      <c r="M40" s="4">
        <f t="shared" si="0"/>
        <v>2.3352759457579684E-3</v>
      </c>
    </row>
    <row r="41" spans="12:13" x14ac:dyDescent="0.25">
      <c r="L41">
        <v>400</v>
      </c>
      <c r="M41" s="4">
        <f t="shared" si="0"/>
        <v>1.5644524402245764E-3</v>
      </c>
    </row>
    <row r="42" spans="12:13" x14ac:dyDescent="0.25">
      <c r="L42">
        <v>450</v>
      </c>
      <c r="M42" s="4">
        <f t="shared" si="0"/>
        <v>1.0987649511590989E-3</v>
      </c>
    </row>
    <row r="43" spans="12:13" x14ac:dyDescent="0.25">
      <c r="L43">
        <v>500</v>
      </c>
      <c r="M43" s="4">
        <f t="shared" si="0"/>
        <v>8.0099964939498304E-4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1" sqref="C1"/>
    </sheetView>
  </sheetViews>
  <sheetFormatPr defaultRowHeight="15" x14ac:dyDescent="0.25"/>
  <cols>
    <col min="2" max="2" width="12.85546875" customWidth="1"/>
  </cols>
  <sheetData>
    <row r="1" spans="1:8" x14ac:dyDescent="0.25">
      <c r="C1" s="14" t="s">
        <v>724</v>
      </c>
    </row>
    <row r="2" spans="1:8" x14ac:dyDescent="0.25">
      <c r="A2" t="s">
        <v>95</v>
      </c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</row>
    <row r="3" spans="1:8" x14ac:dyDescent="0.25">
      <c r="C3">
        <v>7.742</v>
      </c>
      <c r="D3">
        <v>14.61</v>
      </c>
      <c r="E3">
        <v>12.33</v>
      </c>
      <c r="F3">
        <v>1.7629999999999999</v>
      </c>
      <c r="G3">
        <v>1.6579999999999999</v>
      </c>
      <c r="H3">
        <v>9.875</v>
      </c>
    </row>
    <row r="4" spans="1:8" x14ac:dyDescent="0.25">
      <c r="B4" t="s">
        <v>87</v>
      </c>
      <c r="C4" t="s">
        <v>88</v>
      </c>
    </row>
    <row r="5" spans="1:8" x14ac:dyDescent="0.25">
      <c r="B5">
        <v>1</v>
      </c>
      <c r="C5" s="9">
        <f t="shared" ref="C5:C23" si="0">(s*B5+B5^2)/(h+f*B5+g*B5^1.5+c_*B5^2+d*B5^3)</f>
        <v>0.28541059759074089</v>
      </c>
    </row>
    <row r="6" spans="1:8" x14ac:dyDescent="0.25">
      <c r="B6">
        <v>1.5</v>
      </c>
      <c r="C6" s="9">
        <f t="shared" si="0"/>
        <v>0.27577470656417619</v>
      </c>
    </row>
    <row r="7" spans="1:8" x14ac:dyDescent="0.25">
      <c r="B7">
        <v>2</v>
      </c>
      <c r="C7" s="9">
        <f t="shared" si="0"/>
        <v>0.25772494873344154</v>
      </c>
    </row>
    <row r="8" spans="1:8" x14ac:dyDescent="0.25">
      <c r="B8">
        <v>3</v>
      </c>
      <c r="C8" s="9">
        <f t="shared" si="0"/>
        <v>0.2191196464042203</v>
      </c>
    </row>
    <row r="9" spans="1:8" x14ac:dyDescent="0.25">
      <c r="B9">
        <v>4</v>
      </c>
      <c r="C9" s="9">
        <f t="shared" si="0"/>
        <v>0.18553061756623948</v>
      </c>
    </row>
    <row r="10" spans="1:8" x14ac:dyDescent="0.25">
      <c r="B10">
        <v>5</v>
      </c>
      <c r="C10" s="9">
        <f t="shared" si="0"/>
        <v>0.15825458327373393</v>
      </c>
    </row>
    <row r="11" spans="1:8" x14ac:dyDescent="0.25">
      <c r="B11">
        <v>6</v>
      </c>
      <c r="C11" s="9">
        <f t="shared" si="0"/>
        <v>0.13642003024190538</v>
      </c>
    </row>
    <row r="12" spans="1:8" x14ac:dyDescent="0.25">
      <c r="B12">
        <v>7</v>
      </c>
      <c r="C12" s="9">
        <f t="shared" si="0"/>
        <v>0.11890408385451491</v>
      </c>
    </row>
    <row r="13" spans="1:8" x14ac:dyDescent="0.25">
      <c r="B13">
        <v>8</v>
      </c>
      <c r="C13" s="9">
        <f t="shared" si="0"/>
        <v>0.10473535250202558</v>
      </c>
    </row>
    <row r="14" spans="1:8" x14ac:dyDescent="0.25">
      <c r="B14">
        <v>10</v>
      </c>
      <c r="C14" s="9">
        <f t="shared" si="0"/>
        <v>8.3576850853280898E-2</v>
      </c>
    </row>
    <row r="15" spans="1:8" x14ac:dyDescent="0.25">
      <c r="B15">
        <v>12</v>
      </c>
      <c r="C15" s="9">
        <f t="shared" si="0"/>
        <v>6.8816241818456109E-2</v>
      </c>
    </row>
    <row r="16" spans="1:8" x14ac:dyDescent="0.25">
      <c r="B16">
        <v>15</v>
      </c>
      <c r="C16" s="9">
        <f t="shared" si="0"/>
        <v>5.3798321777900594E-2</v>
      </c>
    </row>
    <row r="17" spans="2:3" x14ac:dyDescent="0.25">
      <c r="B17">
        <v>20</v>
      </c>
      <c r="C17" s="9">
        <f t="shared" si="0"/>
        <v>3.8869446906364916E-2</v>
      </c>
    </row>
    <row r="18" spans="2:3" x14ac:dyDescent="0.25">
      <c r="B18">
        <v>30</v>
      </c>
      <c r="C18" s="9">
        <f t="shared" si="0"/>
        <v>2.4500884599493549E-2</v>
      </c>
    </row>
    <row r="19" spans="2:3" x14ac:dyDescent="0.25">
      <c r="B19">
        <v>40</v>
      </c>
      <c r="C19" s="9">
        <f t="shared" si="0"/>
        <v>1.771063024424286E-2</v>
      </c>
    </row>
    <row r="20" spans="2:3" x14ac:dyDescent="0.25">
      <c r="B20">
        <v>50</v>
      </c>
      <c r="C20" s="9">
        <f t="shared" si="0"/>
        <v>1.3811673253818324E-2</v>
      </c>
    </row>
    <row r="21" spans="2:3" x14ac:dyDescent="0.25">
      <c r="B21">
        <v>60</v>
      </c>
      <c r="C21" s="9">
        <f t="shared" si="0"/>
        <v>1.129781030732367E-2</v>
      </c>
    </row>
    <row r="22" spans="2:3" x14ac:dyDescent="0.25">
      <c r="B22">
        <v>80</v>
      </c>
      <c r="C22" s="9">
        <f t="shared" si="0"/>
        <v>8.2626737608150879E-3</v>
      </c>
    </row>
    <row r="23" spans="2:3" x14ac:dyDescent="0.25">
      <c r="B23">
        <v>100</v>
      </c>
      <c r="C23" s="9">
        <f t="shared" si="0"/>
        <v>6.5036776792329488E-3</v>
      </c>
    </row>
    <row r="25" spans="2:3" x14ac:dyDescent="0.25">
      <c r="B25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101</vt:i4>
      </vt:variant>
    </vt:vector>
  </HeadingPairs>
  <TitlesOfParts>
    <vt:vector size="128" baseType="lpstr">
      <vt:lpstr>Nanocoatings</vt:lpstr>
      <vt:lpstr>Surface Area and Volume</vt:lpstr>
      <vt:lpstr>Shell %</vt:lpstr>
      <vt:lpstr>Distances</vt:lpstr>
      <vt:lpstr>Distribution</vt:lpstr>
      <vt:lpstr>Rayleigh</vt:lpstr>
      <vt:lpstr>Mie</vt:lpstr>
      <vt:lpstr>Settling Time</vt:lpstr>
      <vt:lpstr>Percolation</vt:lpstr>
      <vt:lpstr>Clay barriers</vt:lpstr>
      <vt:lpstr>Microemulsions</vt:lpstr>
      <vt:lpstr>HSP Sphere</vt:lpstr>
      <vt:lpstr>HSP Solvent Blends and Chi</vt:lpstr>
      <vt:lpstr>Modulus</vt:lpstr>
      <vt:lpstr>Thickness</vt:lpstr>
      <vt:lpstr>VdW</vt:lpstr>
      <vt:lpstr>DLVO</vt:lpstr>
      <vt:lpstr>RI Vol</vt:lpstr>
      <vt:lpstr>RI LL</vt:lpstr>
      <vt:lpstr>Ostwald</vt:lpstr>
      <vt:lpstr>Levelling</vt:lpstr>
      <vt:lpstr>Pinholes and Fibres</vt:lpstr>
      <vt:lpstr>Milling</vt:lpstr>
      <vt:lpstr>Grinding</vt:lpstr>
      <vt:lpstr>Nanoindentation</vt:lpstr>
      <vt:lpstr>Stefan</vt:lpstr>
      <vt:lpstr>ASAP</vt:lpstr>
      <vt:lpstr>Absorbed</vt:lpstr>
      <vt:lpstr>Approx_RI</vt:lpstr>
      <vt:lpstr>AR_</vt:lpstr>
      <vt:lpstr>AreaF1</vt:lpstr>
      <vt:lpstr>AreaF2</vt:lpstr>
      <vt:lpstr>B</vt:lpstr>
      <vt:lpstr>Bond_R</vt:lpstr>
      <vt:lpstr>c_</vt:lpstr>
      <vt:lpstr>Calculated_thickness_µm</vt:lpstr>
      <vt:lpstr>CB</vt:lpstr>
      <vt:lpstr>Chi</vt:lpstr>
      <vt:lpstr>CK</vt:lpstr>
      <vt:lpstr>CR</vt:lpstr>
      <vt:lpstr>d</vt:lpstr>
      <vt:lpstr>'HSP Solvent Blends and Chi'!dD</vt:lpstr>
      <vt:lpstr>dD</vt:lpstr>
      <vt:lpstr>Deflection</vt:lpstr>
      <vt:lpstr>Density</vt:lpstr>
      <vt:lpstr>'HSP Solvent Blends and Chi'!dH</vt:lpstr>
      <vt:lpstr>dH</vt:lpstr>
      <vt:lpstr>Distance</vt:lpstr>
      <vt:lpstr>divStep</vt:lpstr>
      <vt:lpstr>DLVODensity</vt:lpstr>
      <vt:lpstr>dMax</vt:lpstr>
      <vt:lpstr>dMin</vt:lpstr>
      <vt:lpstr>'HSP Solvent Blends and Chi'!dP</vt:lpstr>
      <vt:lpstr>dP</vt:lpstr>
      <vt:lpstr>e</vt:lpstr>
      <vt:lpstr>e0</vt:lpstr>
      <vt:lpstr>Ea</vt:lpstr>
      <vt:lpstr>f</vt:lpstr>
      <vt:lpstr>Failure_Value</vt:lpstr>
      <vt:lpstr>FCa</vt:lpstr>
      <vt:lpstr>FDensity</vt:lpstr>
      <vt:lpstr>FGravity</vt:lpstr>
      <vt:lpstr>FRadius</vt:lpstr>
      <vt:lpstr>FSurften</vt:lpstr>
      <vt:lpstr>fThick</vt:lpstr>
      <vt:lpstr>FudgeFactor</vt:lpstr>
      <vt:lpstr>FVelocity</vt:lpstr>
      <vt:lpstr>FViscosity</vt:lpstr>
      <vt:lpstr>g</vt:lpstr>
      <vt:lpstr>Gravity</vt:lpstr>
      <vt:lpstr>h</vt:lpstr>
      <vt:lpstr>h0</vt:lpstr>
      <vt:lpstr>Hamaker</vt:lpstr>
      <vt:lpstr>Hardness</vt:lpstr>
      <vt:lpstr>HHardness</vt:lpstr>
      <vt:lpstr>Higher_wavelength</vt:lpstr>
      <vt:lpstr>HModulus</vt:lpstr>
      <vt:lpstr>Hukki_R</vt:lpstr>
      <vt:lpstr>I</vt:lpstr>
      <vt:lpstr>iModulus</vt:lpstr>
      <vt:lpstr>iPoisson</vt:lpstr>
      <vt:lpstr>k_1</vt:lpstr>
      <vt:lpstr>K_K_R</vt:lpstr>
      <vt:lpstr>kB</vt:lpstr>
      <vt:lpstr>Km</vt:lpstr>
      <vt:lpstr>Kmunload</vt:lpstr>
      <vt:lpstr>Layer</vt:lpstr>
      <vt:lpstr>Length</vt:lpstr>
      <vt:lpstr>lnA</vt:lpstr>
      <vt:lpstr>Lower_wavelength</vt:lpstr>
      <vt:lpstr>mass</vt:lpstr>
      <vt:lpstr>Nanoindentation!Modulus</vt:lpstr>
      <vt:lpstr>Modulus</vt:lpstr>
      <vt:lpstr>MVol</vt:lpstr>
      <vt:lpstr>MVolChi</vt:lpstr>
      <vt:lpstr>NA</vt:lpstr>
      <vt:lpstr>Number_of_peaks</vt:lpstr>
      <vt:lpstr>Offset</vt:lpstr>
      <vt:lpstr>Optical_thickness_μm</vt:lpstr>
      <vt:lpstr>oThick</vt:lpstr>
      <vt:lpstr>PMax</vt:lpstr>
      <vt:lpstr>PotAtt</vt:lpstr>
      <vt:lpstr>PotRep</vt:lpstr>
      <vt:lpstr>'HSP Solvent Blends and Chi'!R_</vt:lpstr>
      <vt:lpstr>R_</vt:lpstr>
      <vt:lpstr>radius</vt:lpstr>
      <vt:lpstr>rModulus</vt:lpstr>
      <vt:lpstr>RT</vt:lpstr>
      <vt:lpstr>s</vt:lpstr>
      <vt:lpstr>Scale_h</vt:lpstr>
      <vt:lpstr>sForce</vt:lpstr>
      <vt:lpstr>sPoisson</vt:lpstr>
      <vt:lpstr>sRadius</vt:lpstr>
      <vt:lpstr>Surface_Potential</vt:lpstr>
      <vt:lpstr>SurfTen</vt:lpstr>
      <vt:lpstr>sViscosity</vt:lpstr>
      <vt:lpstr>T</vt:lpstr>
      <vt:lpstr>Temperature</vt:lpstr>
      <vt:lpstr>Thickness</vt:lpstr>
      <vt:lpstr>uDMax</vt:lpstr>
      <vt:lpstr>VdWmin</vt:lpstr>
      <vt:lpstr>Velocity</vt:lpstr>
      <vt:lpstr>Viscosity</vt:lpstr>
      <vt:lpstr>Well</vt:lpstr>
      <vt:lpstr>x</vt:lpstr>
      <vt:lpstr>xystep</vt:lpstr>
      <vt:lpstr>y</vt:lpstr>
      <vt:lpstr>ε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2011-08-17T19:19:51Z</dcterms:created>
  <dcterms:modified xsi:type="dcterms:W3CDTF">2013-06-03T14:26:47Z</dcterms:modified>
</cp:coreProperties>
</file>